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ckey\Desktop\open projects\"/>
    </mc:Choice>
  </mc:AlternateContent>
  <bookViews>
    <workbookView xWindow="240" yWindow="30" windowWidth="16275" windowHeight="8010" firstSheet="4" activeTab="5"/>
  </bookViews>
  <sheets>
    <sheet name="assumtions" sheetId="5" r:id="rId1"/>
    <sheet name="revenue forecast" sheetId="1" r:id="rId2"/>
    <sheet name="year 1 UOP" sheetId="2" r:id="rId3"/>
    <sheet name="year 2 UOP" sheetId="4" r:id="rId4"/>
    <sheet name="year 3 UOP" sheetId="6" r:id="rId5"/>
    <sheet name="year 4 UOP" sheetId="7" r:id="rId6"/>
    <sheet name="year 5 UOP" sheetId="8" r:id="rId7"/>
  </sheets>
  <calcPr calcId="152511"/>
</workbook>
</file>

<file path=xl/calcChain.xml><?xml version="1.0" encoding="utf-8"?>
<calcChain xmlns="http://schemas.openxmlformats.org/spreadsheetml/2006/main">
  <c r="C23" i="6" l="1"/>
  <c r="D23" i="6"/>
  <c r="E23" i="6"/>
  <c r="F23" i="6"/>
  <c r="G23" i="6"/>
  <c r="H23" i="6"/>
  <c r="I23" i="6"/>
  <c r="J23" i="6"/>
  <c r="K23" i="6"/>
  <c r="L23" i="6"/>
  <c r="M23" i="6"/>
  <c r="O11" i="8"/>
  <c r="O12" i="8"/>
  <c r="O13" i="8"/>
  <c r="O14" i="8"/>
  <c r="O15" i="8"/>
  <c r="O16" i="8"/>
  <c r="O17" i="8"/>
  <c r="O24" i="8"/>
  <c r="B27" i="8"/>
  <c r="C27" i="8"/>
  <c r="D27" i="8"/>
  <c r="E27" i="8"/>
  <c r="F27" i="8"/>
  <c r="G27" i="8"/>
  <c r="H27" i="8"/>
  <c r="I27" i="8"/>
  <c r="J27" i="8"/>
  <c r="K27" i="8"/>
  <c r="L27" i="8"/>
  <c r="M27" i="8"/>
  <c r="C26" i="7"/>
  <c r="D26" i="7"/>
  <c r="E26" i="7"/>
  <c r="F26" i="7"/>
  <c r="G26" i="7"/>
  <c r="H26" i="7"/>
  <c r="I26" i="7"/>
  <c r="J26" i="7"/>
  <c r="K26" i="7"/>
  <c r="L26" i="7"/>
  <c r="M26" i="7"/>
  <c r="B26" i="7"/>
  <c r="B23" i="6"/>
  <c r="O10" i="8"/>
  <c r="O14" i="7"/>
  <c r="O11" i="7"/>
  <c r="O23" i="7"/>
  <c r="O10" i="7"/>
  <c r="K33" i="4"/>
  <c r="L33" i="4"/>
  <c r="M33" i="4"/>
  <c r="J33" i="4"/>
  <c r="B32" i="6"/>
  <c r="C32" i="6"/>
  <c r="D32" i="6"/>
  <c r="E32" i="6"/>
  <c r="F32" i="6"/>
  <c r="G32" i="6"/>
  <c r="H32" i="6"/>
  <c r="I32" i="6"/>
  <c r="J32" i="6"/>
  <c r="K32" i="6"/>
  <c r="L32" i="6"/>
  <c r="M32" i="6"/>
  <c r="C28" i="8" l="1"/>
  <c r="D28" i="8"/>
  <c r="E28" i="8"/>
  <c r="F28" i="8"/>
  <c r="G28" i="8"/>
  <c r="H28" i="8"/>
  <c r="I28" i="8"/>
  <c r="J28" i="8"/>
  <c r="K28" i="8"/>
  <c r="L28" i="8"/>
  <c r="M28" i="8"/>
  <c r="K27" i="7"/>
  <c r="C27" i="7"/>
  <c r="D27" i="7"/>
  <c r="E27" i="7"/>
  <c r="F27" i="7"/>
  <c r="G27" i="7"/>
  <c r="H27" i="7"/>
  <c r="I27" i="7"/>
  <c r="J27" i="7"/>
  <c r="L27" i="7"/>
  <c r="M27" i="7"/>
  <c r="M36" i="8"/>
  <c r="L36" i="8"/>
  <c r="K36" i="8"/>
  <c r="J36" i="8"/>
  <c r="I36" i="8"/>
  <c r="H36" i="8"/>
  <c r="G36" i="8"/>
  <c r="F36" i="8"/>
  <c r="E36" i="8"/>
  <c r="D36" i="8"/>
  <c r="C36" i="8"/>
  <c r="B36" i="8"/>
  <c r="O30" i="8"/>
  <c r="O29" i="8"/>
  <c r="O26" i="8"/>
  <c r="O25" i="8"/>
  <c r="O23" i="8"/>
  <c r="O22" i="8"/>
  <c r="O21" i="8"/>
  <c r="O20" i="8"/>
  <c r="O19" i="8"/>
  <c r="O18" i="8"/>
  <c r="O9" i="8"/>
  <c r="O8" i="8"/>
  <c r="O7" i="8"/>
  <c r="O6" i="8"/>
  <c r="O5" i="8"/>
  <c r="O4" i="8"/>
  <c r="M35" i="7"/>
  <c r="L35" i="7"/>
  <c r="K35" i="7"/>
  <c r="J35" i="7"/>
  <c r="I35" i="7"/>
  <c r="H35" i="7"/>
  <c r="G35" i="7"/>
  <c r="F35" i="7"/>
  <c r="E35" i="7"/>
  <c r="D35" i="7"/>
  <c r="C35" i="7"/>
  <c r="B35" i="7"/>
  <c r="H33" i="4"/>
  <c r="G33" i="4"/>
  <c r="F33" i="4"/>
  <c r="E33" i="4"/>
  <c r="D33" i="4"/>
  <c r="C33" i="4"/>
  <c r="O41" i="1"/>
  <c r="N41" i="1"/>
  <c r="M41" i="1"/>
  <c r="L41" i="1"/>
  <c r="K41" i="1"/>
  <c r="I37" i="1"/>
  <c r="J37" i="1"/>
  <c r="K37" i="1"/>
  <c r="L37" i="1"/>
  <c r="M37" i="1"/>
  <c r="N37" i="1"/>
  <c r="O37" i="1"/>
  <c r="P9" i="1"/>
  <c r="P15" i="1"/>
  <c r="P20" i="1"/>
  <c r="P24" i="1"/>
  <c r="P33" i="1"/>
  <c r="I35" i="1"/>
  <c r="J35" i="1"/>
  <c r="K35" i="1"/>
  <c r="L35" i="1"/>
  <c r="M35" i="1"/>
  <c r="N35" i="1"/>
  <c r="O35" i="1"/>
  <c r="E33" i="1"/>
  <c r="F33" i="1"/>
  <c r="G33" i="1"/>
  <c r="H33" i="1"/>
  <c r="I33" i="1"/>
  <c r="J33" i="1"/>
  <c r="K33" i="1"/>
  <c r="L33" i="1"/>
  <c r="M33" i="1"/>
  <c r="N33" i="1"/>
  <c r="O33" i="1"/>
  <c r="D33" i="1"/>
  <c r="O30" i="1"/>
  <c r="N30" i="1"/>
  <c r="M30" i="1"/>
  <c r="L30" i="1"/>
  <c r="K30" i="1"/>
  <c r="J30" i="1"/>
  <c r="I30" i="1"/>
  <c r="H30" i="1"/>
  <c r="G30" i="1"/>
  <c r="F30" i="1"/>
  <c r="E30" i="1"/>
  <c r="D30" i="1"/>
  <c r="E28" i="1"/>
  <c r="F28" i="1"/>
  <c r="G28" i="1"/>
  <c r="H28" i="1"/>
  <c r="I28" i="1"/>
  <c r="J28" i="1"/>
  <c r="K28" i="1"/>
  <c r="L28" i="1"/>
  <c r="M28" i="1"/>
  <c r="N28" i="1"/>
  <c r="O28" i="1"/>
  <c r="O26" i="1"/>
  <c r="N26" i="1"/>
  <c r="M26" i="1"/>
  <c r="L26" i="1"/>
  <c r="K26" i="1"/>
  <c r="J26" i="1"/>
  <c r="I26" i="1"/>
  <c r="H26" i="1"/>
  <c r="G26" i="1"/>
  <c r="F26" i="1"/>
  <c r="E26" i="1"/>
  <c r="D26" i="1"/>
  <c r="F24" i="1"/>
  <c r="G24" i="1"/>
  <c r="H24" i="1"/>
  <c r="I24" i="1"/>
  <c r="J24" i="1"/>
  <c r="K24" i="1"/>
  <c r="L24" i="1"/>
  <c r="M24" i="1"/>
  <c r="N24" i="1"/>
  <c r="O24" i="1"/>
  <c r="E24" i="1"/>
  <c r="M20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8" i="1"/>
  <c r="N18" i="1"/>
  <c r="M18" i="1"/>
  <c r="L18" i="1"/>
  <c r="O17" i="1"/>
  <c r="O20" i="1" s="1"/>
  <c r="N17" i="1"/>
  <c r="N20" i="1" s="1"/>
  <c r="M17" i="1"/>
  <c r="L17" i="1"/>
  <c r="L20" i="1" s="1"/>
  <c r="F31" i="8" l="1"/>
  <c r="F37" i="8" s="1"/>
  <c r="E31" i="8"/>
  <c r="E37" i="8" s="1"/>
  <c r="E39" i="8" s="1"/>
  <c r="E40" i="8" s="1"/>
  <c r="I31" i="8"/>
  <c r="I37" i="8" s="1"/>
  <c r="I39" i="8" s="1"/>
  <c r="I40" i="8" s="1"/>
  <c r="M31" i="8"/>
  <c r="M37" i="8" s="1"/>
  <c r="M39" i="8" s="1"/>
  <c r="M40" i="8" s="1"/>
  <c r="J31" i="8"/>
  <c r="J37" i="8" s="1"/>
  <c r="B28" i="8"/>
  <c r="B31" i="8" s="1"/>
  <c r="B37" i="8" s="1"/>
  <c r="O36" i="8"/>
  <c r="G31" i="8"/>
  <c r="G37" i="8" s="1"/>
  <c r="C31" i="8"/>
  <c r="C37" i="8" s="1"/>
  <c r="K31" i="8"/>
  <c r="K37" i="8" s="1"/>
  <c r="D31" i="8"/>
  <c r="D37" i="8" s="1"/>
  <c r="H31" i="8"/>
  <c r="H37" i="8" s="1"/>
  <c r="L31" i="8"/>
  <c r="L37" i="8" s="1"/>
  <c r="O27" i="8"/>
  <c r="O6" i="1"/>
  <c r="N6" i="1"/>
  <c r="M6" i="1"/>
  <c r="L6" i="1"/>
  <c r="K6" i="1"/>
  <c r="J6" i="1"/>
  <c r="O7" i="1"/>
  <c r="O9" i="1" s="1"/>
  <c r="N7" i="1"/>
  <c r="N9" i="1" s="1"/>
  <c r="M7" i="1"/>
  <c r="M9" i="1" s="1"/>
  <c r="L7" i="1"/>
  <c r="N11" i="1"/>
  <c r="N15" i="1" s="1"/>
  <c r="O11" i="1"/>
  <c r="O15" i="1" s="1"/>
  <c r="N22" i="1"/>
  <c r="O22" i="1"/>
  <c r="N31" i="1"/>
  <c r="O31" i="1"/>
  <c r="A48" i="7"/>
  <c r="K7" i="1"/>
  <c r="K9" i="1" s="1"/>
  <c r="K11" i="1"/>
  <c r="K15" i="1" s="1"/>
  <c r="K17" i="1"/>
  <c r="K20" i="1" s="1"/>
  <c r="K18" i="1"/>
  <c r="K22" i="1"/>
  <c r="K31" i="1"/>
  <c r="M11" i="1"/>
  <c r="M15" i="1" s="1"/>
  <c r="M22" i="1"/>
  <c r="M31" i="1"/>
  <c r="D6" i="1"/>
  <c r="L11" i="1"/>
  <c r="L15" i="1" s="1"/>
  <c r="L22" i="1"/>
  <c r="L31" i="1"/>
  <c r="C39" i="8" l="1"/>
  <c r="C40" i="8" s="1"/>
  <c r="M42" i="8"/>
  <c r="M44" i="8" s="1"/>
  <c r="G39" i="8"/>
  <c r="G40" i="8" s="1"/>
  <c r="K39" i="8"/>
  <c r="K40" i="8" s="1"/>
  <c r="E42" i="8"/>
  <c r="E44" i="8" s="1"/>
  <c r="H39" i="8"/>
  <c r="H40" i="8" s="1"/>
  <c r="D39" i="8"/>
  <c r="D40" i="8" s="1"/>
  <c r="J39" i="8"/>
  <c r="J40" i="8" s="1"/>
  <c r="B39" i="8"/>
  <c r="O37" i="8"/>
  <c r="F39" i="8"/>
  <c r="F40" i="8" s="1"/>
  <c r="L39" i="8"/>
  <c r="L40" i="8" s="1"/>
  <c r="O28" i="8"/>
  <c r="O31" i="8" s="1"/>
  <c r="I42" i="8"/>
  <c r="I44" i="8" s="1"/>
  <c r="L9" i="1"/>
  <c r="I6" i="1"/>
  <c r="O35" i="7"/>
  <c r="B27" i="7"/>
  <c r="J30" i="7"/>
  <c r="J36" i="7" s="1"/>
  <c r="O4" i="7"/>
  <c r="O5" i="7"/>
  <c r="O6" i="7"/>
  <c r="O7" i="7"/>
  <c r="O8" i="7"/>
  <c r="O9" i="7"/>
  <c r="O12" i="7"/>
  <c r="O13" i="7"/>
  <c r="O15" i="7"/>
  <c r="O16" i="7"/>
  <c r="O17" i="7"/>
  <c r="O18" i="7"/>
  <c r="O19" i="7"/>
  <c r="O20" i="7"/>
  <c r="O21" i="7"/>
  <c r="O22" i="7"/>
  <c r="O24" i="7"/>
  <c r="O25" i="7"/>
  <c r="O28" i="7"/>
  <c r="O29" i="7"/>
  <c r="B33" i="4"/>
  <c r="I33" i="4"/>
  <c r="O33" i="4"/>
  <c r="P29" i="4" s="1"/>
  <c r="N15" i="2"/>
  <c r="J7" i="1"/>
  <c r="J9" i="1" s="1"/>
  <c r="O21" i="6"/>
  <c r="O19" i="4"/>
  <c r="O26" i="6"/>
  <c r="O25" i="6"/>
  <c r="L24" i="6"/>
  <c r="J24" i="6"/>
  <c r="J27" i="6" s="1"/>
  <c r="J33" i="6" s="1"/>
  <c r="J35" i="6" s="1"/>
  <c r="J36" i="6" s="1"/>
  <c r="H24" i="6"/>
  <c r="F24" i="6"/>
  <c r="F27" i="6" s="1"/>
  <c r="F33" i="6" s="1"/>
  <c r="F35" i="6" s="1"/>
  <c r="F36" i="6" s="1"/>
  <c r="D24" i="6"/>
  <c r="C24" i="6"/>
  <c r="B24" i="6"/>
  <c r="O16" i="6"/>
  <c r="O15" i="6"/>
  <c r="O22" i="6"/>
  <c r="O20" i="6"/>
  <c r="O14" i="6"/>
  <c r="O13" i="6"/>
  <c r="O19" i="6"/>
  <c r="O11" i="6"/>
  <c r="O10" i="6"/>
  <c r="O18" i="6"/>
  <c r="O17" i="6"/>
  <c r="O9" i="6"/>
  <c r="O8" i="6"/>
  <c r="O7" i="6"/>
  <c r="O6" i="6"/>
  <c r="O5" i="6"/>
  <c r="O4" i="6"/>
  <c r="J31" i="1"/>
  <c r="C23" i="4"/>
  <c r="C26" i="4"/>
  <c r="C34" i="4" s="1"/>
  <c r="C37" i="4" s="1"/>
  <c r="E23" i="4"/>
  <c r="E26" i="4" s="1"/>
  <c r="E34" i="4" s="1"/>
  <c r="E36" i="4" s="1"/>
  <c r="F23" i="4"/>
  <c r="F26" i="4"/>
  <c r="F34" i="4" s="1"/>
  <c r="G23" i="4"/>
  <c r="G26" i="4" s="1"/>
  <c r="G34" i="4" s="1"/>
  <c r="H22" i="4"/>
  <c r="I22" i="4"/>
  <c r="I23" i="4"/>
  <c r="I26" i="4" s="1"/>
  <c r="I34" i="4" s="1"/>
  <c r="J22" i="4"/>
  <c r="J23" i="4" s="1"/>
  <c r="J26" i="4" s="1"/>
  <c r="J34" i="4" s="1"/>
  <c r="K22" i="4"/>
  <c r="K23" i="4" s="1"/>
  <c r="L22" i="4"/>
  <c r="M22" i="4"/>
  <c r="M23" i="4" s="1"/>
  <c r="O13" i="4"/>
  <c r="O20" i="4"/>
  <c r="O21" i="4"/>
  <c r="O14" i="4"/>
  <c r="O15" i="4"/>
  <c r="O24" i="4"/>
  <c r="O18" i="4"/>
  <c r="O11" i="4"/>
  <c r="O25" i="4"/>
  <c r="O12" i="4"/>
  <c r="O10" i="4"/>
  <c r="O17" i="4"/>
  <c r="O16" i="4"/>
  <c r="O8" i="4"/>
  <c r="O7" i="4"/>
  <c r="O6" i="4"/>
  <c r="O5" i="4"/>
  <c r="O4" i="4"/>
  <c r="D19" i="2"/>
  <c r="C19" i="2"/>
  <c r="B19" i="2"/>
  <c r="N18" i="2"/>
  <c r="N17" i="2"/>
  <c r="N7" i="2"/>
  <c r="O2" i="2"/>
  <c r="N6" i="2"/>
  <c r="N11" i="2"/>
  <c r="N10" i="2"/>
  <c r="N8" i="2"/>
  <c r="N13" i="2"/>
  <c r="N12" i="2"/>
  <c r="N14" i="2"/>
  <c r="N16" i="2"/>
  <c r="N5" i="2"/>
  <c r="N4" i="2"/>
  <c r="J22" i="1"/>
  <c r="E19" i="2"/>
  <c r="F19" i="2"/>
  <c r="G19" i="2"/>
  <c r="H19" i="2"/>
  <c r="I19" i="2"/>
  <c r="J19" i="2"/>
  <c r="K19" i="2"/>
  <c r="L19" i="2"/>
  <c r="M19" i="2"/>
  <c r="O22" i="2" s="1"/>
  <c r="J18" i="1"/>
  <c r="J17" i="1"/>
  <c r="J20" i="1" s="1"/>
  <c r="B11" i="1"/>
  <c r="J11" i="1"/>
  <c r="J15" i="1" s="1"/>
  <c r="I11" i="1"/>
  <c r="I15" i="1" s="1"/>
  <c r="H11" i="1"/>
  <c r="H15" i="1" s="1"/>
  <c r="G11" i="1"/>
  <c r="G15" i="1" s="1"/>
  <c r="F11" i="1"/>
  <c r="F15" i="1" s="1"/>
  <c r="D9" i="1"/>
  <c r="D35" i="1" s="1"/>
  <c r="D37" i="1" s="1"/>
  <c r="D31" i="1"/>
  <c r="C18" i="1"/>
  <c r="O32" i="6"/>
  <c r="D18" i="1"/>
  <c r="D28" i="1"/>
  <c r="D17" i="1"/>
  <c r="E24" i="6"/>
  <c r="E27" i="6"/>
  <c r="E33" i="6" s="1"/>
  <c r="E35" i="6" s="1"/>
  <c r="E36" i="6" s="1"/>
  <c r="I24" i="6"/>
  <c r="I27" i="6"/>
  <c r="I33" i="6" s="1"/>
  <c r="M24" i="6"/>
  <c r="M27" i="6"/>
  <c r="M33" i="6" s="1"/>
  <c r="M35" i="6" s="1"/>
  <c r="G24" i="6"/>
  <c r="G27" i="6"/>
  <c r="G33" i="6" s="1"/>
  <c r="G35" i="6" s="1"/>
  <c r="G36" i="6" s="1"/>
  <c r="K24" i="6"/>
  <c r="K27" i="6"/>
  <c r="K33" i="6" s="1"/>
  <c r="K35" i="6" s="1"/>
  <c r="K36" i="6" s="1"/>
  <c r="B27" i="6"/>
  <c r="B33" i="6" s="1"/>
  <c r="B35" i="6" s="1"/>
  <c r="B36" i="6" s="1"/>
  <c r="D27" i="6"/>
  <c r="D33" i="6" s="1"/>
  <c r="H27" i="6"/>
  <c r="H33" i="6" s="1"/>
  <c r="L27" i="6"/>
  <c r="L33" i="6" s="1"/>
  <c r="L35" i="6" s="1"/>
  <c r="L36" i="6" s="1"/>
  <c r="B23" i="4"/>
  <c r="B26" i="4"/>
  <c r="B34" i="4" s="1"/>
  <c r="B37" i="4" s="1"/>
  <c r="L23" i="4"/>
  <c r="L26" i="4"/>
  <c r="L34" i="4"/>
  <c r="H23" i="4"/>
  <c r="H26" i="4" s="1"/>
  <c r="H34" i="4" s="1"/>
  <c r="D23" i="4"/>
  <c r="D26" i="4"/>
  <c r="D34" i="4" s="1"/>
  <c r="D37" i="4" s="1"/>
  <c r="O9" i="4"/>
  <c r="N9" i="2"/>
  <c r="L36" i="4"/>
  <c r="O24" i="6" l="1"/>
  <c r="C27" i="6"/>
  <c r="C33" i="6" s="1"/>
  <c r="C35" i="6" s="1"/>
  <c r="O23" i="6"/>
  <c r="O22" i="4"/>
  <c r="O23" i="4"/>
  <c r="H35" i="6"/>
  <c r="H36" i="6" s="1"/>
  <c r="H38" i="6" s="1"/>
  <c r="H40" i="6" s="1"/>
  <c r="C36" i="6"/>
  <c r="C38" i="6" s="1"/>
  <c r="C40" i="6" s="1"/>
  <c r="L30" i="7"/>
  <c r="L36" i="7" s="1"/>
  <c r="L38" i="7" s="1"/>
  <c r="I30" i="7"/>
  <c r="I36" i="7" s="1"/>
  <c r="I38" i="7" s="1"/>
  <c r="I39" i="7" s="1"/>
  <c r="I41" i="7" s="1"/>
  <c r="I43" i="7" s="1"/>
  <c r="H30" i="7"/>
  <c r="H36" i="7" s="1"/>
  <c r="H38" i="7" s="1"/>
  <c r="H39" i="7" s="1"/>
  <c r="M30" i="7"/>
  <c r="M36" i="7" s="1"/>
  <c r="K30" i="7"/>
  <c r="K36" i="7" s="1"/>
  <c r="J38" i="7"/>
  <c r="J39" i="7" s="1"/>
  <c r="O26" i="7"/>
  <c r="G30" i="7"/>
  <c r="G36" i="7" s="1"/>
  <c r="F30" i="7"/>
  <c r="F36" i="7" s="1"/>
  <c r="D30" i="7"/>
  <c r="D36" i="7" s="1"/>
  <c r="D38" i="7" s="1"/>
  <c r="D39" i="7" s="1"/>
  <c r="D41" i="7" s="1"/>
  <c r="D43" i="7" s="1"/>
  <c r="E30" i="7"/>
  <c r="E36" i="7" s="1"/>
  <c r="E38" i="7" s="1"/>
  <c r="B30" i="7"/>
  <c r="B36" i="7" s="1"/>
  <c r="B38" i="7" s="1"/>
  <c r="J42" i="8"/>
  <c r="J44" i="8" s="1"/>
  <c r="G42" i="8"/>
  <c r="G44" i="8" s="1"/>
  <c r="D42" i="8"/>
  <c r="D44" i="8" s="1"/>
  <c r="L42" i="8"/>
  <c r="L44" i="8"/>
  <c r="C42" i="8"/>
  <c r="C44" i="8" s="1"/>
  <c r="F42" i="8"/>
  <c r="F44" i="8" s="1"/>
  <c r="H42" i="8"/>
  <c r="H44" i="8" s="1"/>
  <c r="O39" i="8"/>
  <c r="B40" i="8"/>
  <c r="K42" i="8"/>
  <c r="K44" i="8" s="1"/>
  <c r="M36" i="6"/>
  <c r="L38" i="6"/>
  <c r="L40" i="6" s="1"/>
  <c r="K38" i="6"/>
  <c r="K40" i="6" s="1"/>
  <c r="J38" i="6"/>
  <c r="J40" i="6" s="1"/>
  <c r="I35" i="6"/>
  <c r="I36" i="6" s="1"/>
  <c r="O33" i="6"/>
  <c r="G38" i="6"/>
  <c r="G40" i="6" s="1"/>
  <c r="F38" i="6"/>
  <c r="F40" i="6" s="1"/>
  <c r="E38" i="6"/>
  <c r="E40" i="6" s="1"/>
  <c r="D35" i="6"/>
  <c r="B38" i="6"/>
  <c r="L37" i="4"/>
  <c r="H36" i="4"/>
  <c r="H37" i="4" s="1"/>
  <c r="J36" i="4"/>
  <c r="J37" i="4" s="1"/>
  <c r="I36" i="4"/>
  <c r="I37" i="4" s="1"/>
  <c r="M26" i="4"/>
  <c r="M34" i="4" s="1"/>
  <c r="O34" i="4" s="1"/>
  <c r="K26" i="4"/>
  <c r="K34" i="4" s="1"/>
  <c r="G36" i="4"/>
  <c r="G37" i="4" s="1"/>
  <c r="F37" i="4"/>
  <c r="E37" i="4"/>
  <c r="F6" i="1"/>
  <c r="G6" i="1"/>
  <c r="E17" i="1"/>
  <c r="E6" i="1"/>
  <c r="E9" i="1" s="1"/>
  <c r="E35" i="1" s="1"/>
  <c r="E37" i="1" s="1"/>
  <c r="H6" i="1"/>
  <c r="D20" i="1"/>
  <c r="D41" i="1" s="1"/>
  <c r="E31" i="1"/>
  <c r="C17" i="1"/>
  <c r="C20" i="1" s="1"/>
  <c r="E18" i="1"/>
  <c r="C6" i="1"/>
  <c r="E22" i="1"/>
  <c r="F22" i="1"/>
  <c r="O27" i="6" l="1"/>
  <c r="L39" i="7"/>
  <c r="M38" i="7"/>
  <c r="M39" i="7" s="1"/>
  <c r="M41" i="7" s="1"/>
  <c r="M43" i="7" s="1"/>
  <c r="K38" i="7"/>
  <c r="K39" i="7" s="1"/>
  <c r="K41" i="7" s="1"/>
  <c r="K43" i="7" s="1"/>
  <c r="O27" i="7"/>
  <c r="O30" i="7" s="1"/>
  <c r="B39" i="7"/>
  <c r="B41" i="7" s="1"/>
  <c r="B43" i="7" s="1"/>
  <c r="F38" i="7"/>
  <c r="F39" i="7" s="1"/>
  <c r="F41" i="7" s="1"/>
  <c r="F43" i="7" s="1"/>
  <c r="J41" i="7"/>
  <c r="J43" i="7" s="1"/>
  <c r="C30" i="7"/>
  <c r="C36" i="7" s="1"/>
  <c r="O36" i="7" s="1"/>
  <c r="O40" i="8"/>
  <c r="Q40" i="8" s="1"/>
  <c r="B42" i="8"/>
  <c r="O42" i="8" s="1"/>
  <c r="M38" i="6"/>
  <c r="M40" i="6" s="1"/>
  <c r="I38" i="6"/>
  <c r="I40" i="6" s="1"/>
  <c r="D36" i="6"/>
  <c r="O35" i="6"/>
  <c r="B40" i="6"/>
  <c r="K36" i="4"/>
  <c r="K37" i="4" s="1"/>
  <c r="M36" i="4"/>
  <c r="M37" i="4" s="1"/>
  <c r="P28" i="4"/>
  <c r="P30" i="4" s="1"/>
  <c r="P40" i="4" s="1"/>
  <c r="C9" i="1"/>
  <c r="C35" i="1" s="1"/>
  <c r="E20" i="1"/>
  <c r="L41" i="7"/>
  <c r="L43" i="7" s="1"/>
  <c r="H41" i="7"/>
  <c r="H43" i="7" s="1"/>
  <c r="G38" i="7"/>
  <c r="E39" i="7"/>
  <c r="F17" i="1"/>
  <c r="F31" i="1"/>
  <c r="F18" i="1"/>
  <c r="C38" i="7" l="1"/>
  <c r="C39" i="7" s="1"/>
  <c r="B44" i="8"/>
  <c r="O44" i="8" s="1"/>
  <c r="D38" i="6"/>
  <c r="O38" i="6" s="1"/>
  <c r="O36" i="6"/>
  <c r="Q36" i="6" s="1"/>
  <c r="O36" i="4"/>
  <c r="O37" i="4" s="1"/>
  <c r="F20" i="1"/>
  <c r="F9" i="1"/>
  <c r="F35" i="1" s="1"/>
  <c r="F37" i="1" s="1"/>
  <c r="J41" i="1"/>
  <c r="G39" i="7"/>
  <c r="E41" i="7"/>
  <c r="C37" i="1"/>
  <c r="C41" i="1"/>
  <c r="E41" i="1"/>
  <c r="G18" i="1"/>
  <c r="G31" i="1"/>
  <c r="G9" i="1"/>
  <c r="G35" i="1" s="1"/>
  <c r="G37" i="1" s="1"/>
  <c r="G22" i="1"/>
  <c r="G17" i="1"/>
  <c r="O38" i="7" l="1"/>
  <c r="O39" i="7"/>
  <c r="Q39" i="7" s="1"/>
  <c r="C41" i="7"/>
  <c r="C43" i="7"/>
  <c r="D40" i="6"/>
  <c r="O40" i="6" s="1"/>
  <c r="G20" i="1"/>
  <c r="F41" i="1"/>
  <c r="G41" i="7"/>
  <c r="G43" i="7" s="1"/>
  <c r="E43" i="7"/>
  <c r="H18" i="1"/>
  <c r="H17" i="1"/>
  <c r="H20" i="1" s="1"/>
  <c r="H22" i="1"/>
  <c r="H9" i="1"/>
  <c r="H35" i="1" s="1"/>
  <c r="H37" i="1" s="1"/>
  <c r="H31" i="1"/>
  <c r="O41" i="7" l="1"/>
  <c r="O43" i="7"/>
  <c r="I31" i="1"/>
  <c r="I7" i="1"/>
  <c r="I22" i="1"/>
  <c r="I17" i="1"/>
  <c r="I18" i="1"/>
  <c r="G41" i="1"/>
  <c r="I20" i="1" l="1"/>
  <c r="I9" i="1"/>
  <c r="H41" i="1"/>
  <c r="I41" i="1" l="1"/>
</calcChain>
</file>

<file path=xl/comments1.xml><?xml version="1.0" encoding="utf-8"?>
<comments xmlns="http://schemas.openxmlformats.org/spreadsheetml/2006/main">
  <authors>
    <author>Jordan mackey</author>
    <author>jmackey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approx. 30 national purveyors on flat rate only of $600 ( click through revenue not represented)
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factored at 30 purveyors listings per region at 10 regions. @ $350 per month flat rate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factored at 10 regions at 10 purveyors per $ 150 monthly
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Assumption that 1% of the membership field would pay to post a job each month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assumption of .5 of 1 % purchasing a job seeker profile each month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assumption of 25% of the field spending $10 per month through portal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revenue of .5 cent per member per day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assumption of .5 of 1% of membership gaining us a $5 commision per month via sales aquisition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assumption based on the creation of a product review type of editorial advertisement that would be about 2000 words and include pictures at a price of 2500 per piece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Jordan mackey:</t>
        </r>
        <r>
          <rPr>
            <sz val="9"/>
            <color indexed="81"/>
            <rFont val="Tahoma"/>
            <family val="2"/>
          </rPr>
          <t xml:space="preserve">
assumption based on 10% of the membership field clicking  a "call to action" ad</t>
        </r>
      </text>
    </comment>
  </commentList>
</comments>
</file>

<file path=xl/comments2.xml><?xml version="1.0" encoding="utf-8"?>
<comments xmlns="http://schemas.openxmlformats.org/spreadsheetml/2006/main">
  <authors>
    <author>jmackey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beta product launch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campaign collateral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Seo and social media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marketing automation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collateral development design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seo and social media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PR marketing campaign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trade show booth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seo and social media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3rd party services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pre series A valuation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office supplies and electronics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small office space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brand protection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terms of use and content liscensing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contract development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meeting with wholesale suppliers</t>
        </r>
      </text>
    </comment>
  </commentList>
</comments>
</file>

<file path=xl/comments3.xml><?xml version="1.0" encoding="utf-8"?>
<comments xmlns="http://schemas.openxmlformats.org/spreadsheetml/2006/main">
  <authors>
    <author>jmackey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product launch (post beta)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beak even month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supplier participants begin to pay for services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hosting, security, monthly fees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affiliate advertising, mailings, printed media, tradeshow fees, SEO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jmackey:
PPA commisions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PPA commisions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PPA comissions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PPA commisions</t>
        </r>
      </text>
    </comment>
  </commentList>
</comments>
</file>

<file path=xl/comments4.xml><?xml version="1.0" encoding="utf-8"?>
<comments xmlns="http://schemas.openxmlformats.org/spreadsheetml/2006/main">
  <authors>
    <author>jmackey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e-commerce marketplace launch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NRA Show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tuition pay off</t>
        </r>
      </text>
    </comment>
  </commentList>
</comments>
</file>

<file path=xl/comments5.xml><?xml version="1.0" encoding="utf-8"?>
<comments xmlns="http://schemas.openxmlformats.org/spreadsheetml/2006/main">
  <authors>
    <author>jmackey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NRA Show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tuition pay off</t>
        </r>
      </text>
    </comment>
  </commentList>
</comments>
</file>

<file path=xl/comments6.xml><?xml version="1.0" encoding="utf-8"?>
<comments xmlns="http://schemas.openxmlformats.org/spreadsheetml/2006/main">
  <authors>
    <author>jmackey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</rPr>
          <t>jmackey:</t>
        </r>
        <r>
          <rPr>
            <sz val="9"/>
            <color indexed="81"/>
            <rFont val="Tahoma"/>
            <family val="2"/>
          </rPr>
          <t xml:space="preserve">
Tuition pay off</t>
        </r>
      </text>
    </comment>
  </commentList>
</comments>
</file>

<file path=xl/sharedStrings.xml><?xml version="1.0" encoding="utf-8"?>
<sst xmlns="http://schemas.openxmlformats.org/spreadsheetml/2006/main" count="264" uniqueCount="154">
  <si>
    <t>Use Of Proceeds Year 1</t>
  </si>
  <si>
    <t>expense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</si>
  <si>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</si>
  <si>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</si>
  <si>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</si>
  <si>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</si>
  <si>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</si>
  <si>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</si>
  <si>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</si>
  <si>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</si>
  <si>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</si>
  <si>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</si>
  <si>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</si>
  <si>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Use Of Proceeds Year 2</t>
  </si>
  <si>
    <t>revenue source</t>
  </si>
  <si>
    <t>monthly cost p/user</t>
  </si>
  <si>
    <t>MONTHLY TOTAL</t>
  </si>
  <si>
    <t>BANNER ADS</t>
  </si>
  <si>
    <t>PPC ADS</t>
  </si>
  <si>
    <t>PPA ADS</t>
  </si>
  <si>
    <t>PPI ADS</t>
  </si>
  <si>
    <t>Annualized</t>
  </si>
  <si>
    <t>benefits</t>
  </si>
  <si>
    <t>1st month</t>
  </si>
  <si>
    <t>Marketplace revenue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</si>
  <si>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</si>
  <si>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</si>
  <si>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</si>
  <si>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</si>
  <si>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</si>
  <si>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</si>
  <si>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</si>
  <si>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</si>
  <si>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</si>
  <si>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</si>
  <si>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</si>
  <si>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</si>
  <si>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Software Dev.</t>
  </si>
  <si>
    <t>Cyber Expenses</t>
  </si>
  <si>
    <t>Accounting</t>
  </si>
  <si>
    <t>Outside Legal</t>
  </si>
  <si>
    <t>Web Designer</t>
  </si>
  <si>
    <t>CEO</t>
  </si>
  <si>
    <t>Editorial Mgr.</t>
  </si>
  <si>
    <t>Marketing Exp.</t>
  </si>
  <si>
    <t>Sales Director</t>
  </si>
  <si>
    <t>Overhead</t>
  </si>
  <si>
    <t>Web Admin</t>
  </si>
  <si>
    <t>Miscellaneous</t>
  </si>
  <si>
    <t>Sales Assistant</t>
  </si>
  <si>
    <t>Accounting Assistant / AR</t>
  </si>
  <si>
    <t>admin assistant</t>
  </si>
  <si>
    <t>payroll taxes</t>
  </si>
  <si>
    <t>Deliverables</t>
  </si>
  <si>
    <t>Income</t>
  </si>
  <si>
    <t>Members</t>
  </si>
  <si>
    <t>Revenue Dollars Per Member</t>
  </si>
  <si>
    <t>Other commissions</t>
  </si>
  <si>
    <t>Sales Materials</t>
  </si>
  <si>
    <t>Admin labor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</si>
  <si>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</si>
  <si>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</si>
  <si>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</si>
  <si>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</si>
  <si>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</si>
  <si>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</si>
  <si>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</si>
  <si>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</si>
  <si>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</si>
  <si>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</si>
  <si>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</si>
  <si>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</si>
  <si>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year 1 total</t>
  </si>
  <si>
    <t>MONTHLY OUTLAY</t>
  </si>
  <si>
    <t>travel</t>
  </si>
  <si>
    <t>EIC / President</t>
  </si>
  <si>
    <t>Taxes</t>
  </si>
  <si>
    <t xml:space="preserve">profit before debt </t>
  </si>
  <si>
    <t>N.O.I.</t>
  </si>
  <si>
    <t>Membership Density</t>
  </si>
  <si>
    <t>Year 2 income</t>
  </si>
  <si>
    <t>Year Two Expenses</t>
  </si>
  <si>
    <t>Year 2 N.O.I.</t>
  </si>
  <si>
    <t>Net Income (Pre tax/debt)</t>
  </si>
  <si>
    <t>Income tax</t>
  </si>
  <si>
    <t>Profit ( pre debt)</t>
  </si>
  <si>
    <t>revenue</t>
  </si>
  <si>
    <t>G.O.P</t>
  </si>
  <si>
    <t>less taxes</t>
  </si>
  <si>
    <t>debt</t>
  </si>
  <si>
    <t>reinvestment and dividends</t>
  </si>
  <si>
    <t>Debt Payments</t>
  </si>
  <si>
    <t>Use Of Proceeds Year 3</t>
  </si>
  <si>
    <t xml:space="preserve">entertainment </t>
  </si>
  <si>
    <t>web assistant</t>
  </si>
  <si>
    <t>Miscellaneous/ entertainment</t>
  </si>
  <si>
    <t>Reinvestment/ Royalty</t>
  </si>
  <si>
    <t>Net Income ( before  tax and debt)</t>
  </si>
  <si>
    <t xml:space="preserve">2 year total </t>
  </si>
  <si>
    <t>graphic design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</si>
  <si>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</si>
  <si>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</si>
  <si>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</si>
  <si>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</si>
  <si>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</si>
  <si>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</si>
  <si>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</si>
  <si>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</si>
  <si>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</si>
  <si>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</si>
  <si>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</si>
  <si>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</si>
  <si>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Income membership</t>
  </si>
  <si>
    <t>Total Supplier Revenue</t>
  </si>
  <si>
    <t>One Time Services Total Revenue</t>
  </si>
  <si>
    <t>Total Membership Revenue</t>
  </si>
  <si>
    <t>Marketplace Totals</t>
  </si>
  <si>
    <t>Advertising Totals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</si>
  <si>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</si>
  <si>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</si>
  <si>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</si>
  <si>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</si>
  <si>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</si>
  <si>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</si>
  <si>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</si>
  <si>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</si>
  <si>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</si>
  <si>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</si>
  <si>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</si>
  <si>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</si>
  <si>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Editorial Staff</t>
  </si>
  <si>
    <t>Project Manager/ IT</t>
  </si>
  <si>
    <t>Monthly Theoretical Revenue Forecasts By Membership Density</t>
  </si>
  <si>
    <t>Free member @ 75%</t>
  </si>
  <si>
    <t>Gold member @ 20%</t>
  </si>
  <si>
    <t>Platinum member @ 5%</t>
  </si>
  <si>
    <t>National purveyor listings (sponsors)</t>
  </si>
  <si>
    <t>Regional purveyor listings</t>
  </si>
  <si>
    <t>Non food purveyor listings</t>
  </si>
  <si>
    <t>Job seeker set up 60 day</t>
  </si>
  <si>
    <t>Editorial ads</t>
  </si>
  <si>
    <t>Conversion ads</t>
  </si>
  <si>
    <t>Job listings 1 PER MONTH @ 1%</t>
  </si>
  <si>
    <t>Dividend Payments</t>
  </si>
  <si>
    <t>Reinvestment and dividend</t>
  </si>
  <si>
    <t>Reinvestment and dividends</t>
  </si>
  <si>
    <t>Use Of Proceeds Year 4</t>
  </si>
  <si>
    <t>Use Of Proceeds Year 5</t>
  </si>
  <si>
    <t>Data services</t>
  </si>
  <si>
    <t>Membership Director</t>
  </si>
  <si>
    <t>Sales force</t>
  </si>
  <si>
    <t>AR and Accounting</t>
  </si>
  <si>
    <t>e - commerce director</t>
  </si>
  <si>
    <t>Accounting CFO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</si>
</sst>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24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8">
    <xf numFmtId="0" fontId="0" fillId="0" borderId="0" xfId="0"/>
    <xf numFmtId="0" fontId="0" fillId="3" borderId="1" xfId="0" applyFill="1" applyBorder="1"/>
    <xf numFmtId="164" fontId="0" fillId="3" borderId="1" xfId="0" applyNumberFormat="1" applyFill="1" applyBorder="1"/>
    <xf numFmtId="164" fontId="0" fillId="0" borderId="0" xfId="0" applyNumberForma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0" fontId="0" fillId="0" borderId="0" xfId="0" applyAlignment="1">
      <alignment horizontal="center"/>
    </xf>
    <xf numFmtId="0" fontId="7" fillId="0" borderId="0" xfId="0" applyFont="1" applyFill="1"/>
    <xf numFmtId="165" fontId="0" fillId="3" borderId="1" xfId="2" applyNumberFormat="1" applyFont="1" applyFill="1" applyBorder="1"/>
    <xf numFmtId="0" fontId="11" fillId="3" borderId="1" xfId="0" applyFont="1" applyFill="1" applyBorder="1"/>
    <xf numFmtId="165" fontId="11" fillId="3" borderId="1" xfId="2" applyNumberFormat="1" applyFont="1" applyFill="1" applyBorder="1"/>
    <xf numFmtId="0" fontId="11" fillId="0" borderId="0" xfId="0" applyFont="1"/>
    <xf numFmtId="0" fontId="11" fillId="0" borderId="1" xfId="0" applyFont="1" applyBorder="1"/>
    <xf numFmtId="164" fontId="11" fillId="0" borderId="1" xfId="0" applyNumberFormat="1" applyFont="1" applyBorder="1"/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4" borderId="1" xfId="2" applyNumberFormat="1" applyFont="1" applyFill="1" applyBorder="1"/>
    <xf numFmtId="165" fontId="0" fillId="3" borderId="6" xfId="2" applyNumberFormat="1" applyFont="1" applyFill="1" applyBorder="1"/>
    <xf numFmtId="165" fontId="0" fillId="3" borderId="5" xfId="2" applyNumberFormat="1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4" fontId="11" fillId="0" borderId="0" xfId="0" applyNumberFormat="1" applyFont="1"/>
    <xf numFmtId="0" fontId="11" fillId="3" borderId="0" xfId="0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165" fontId="0" fillId="7" borderId="1" xfId="2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65" fontId="11" fillId="3" borderId="1" xfId="2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164" fontId="0" fillId="4" borderId="1" xfId="0" applyNumberFormat="1" applyFont="1" applyFill="1" applyBorder="1"/>
    <xf numFmtId="164" fontId="0" fillId="3" borderId="1" xfId="0" applyNumberFormat="1" applyFont="1" applyFill="1" applyBorder="1"/>
    <xf numFmtId="164" fontId="0" fillId="3" borderId="6" xfId="0" applyNumberFormat="1" applyFont="1" applyFill="1" applyBorder="1"/>
    <xf numFmtId="164" fontId="0" fillId="3" borderId="5" xfId="0" applyNumberFormat="1" applyFont="1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165" fontId="0" fillId="0" borderId="0" xfId="2" applyNumberFormat="1" applyFont="1" applyFill="1" applyBorder="1"/>
    <xf numFmtId="165" fontId="0" fillId="0" borderId="0" xfId="0" applyNumberFormat="1"/>
    <xf numFmtId="0" fontId="0" fillId="8" borderId="0" xfId="0" applyFill="1"/>
    <xf numFmtId="166" fontId="0" fillId="8" borderId="0" xfId="1" applyNumberFormat="1" applyFont="1" applyFill="1"/>
    <xf numFmtId="165" fontId="0" fillId="8" borderId="0" xfId="2" applyNumberFormat="1" applyFont="1" applyFill="1" applyAlignment="1">
      <alignment horizontal="right"/>
    </xf>
    <xf numFmtId="165" fontId="0" fillId="8" borderId="0" xfId="0" applyNumberFormat="1" applyFill="1"/>
    <xf numFmtId="165" fontId="1" fillId="8" borderId="0" xfId="2" applyNumberFormat="1" applyFont="1" applyFill="1" applyAlignment="1">
      <alignment horizontal="right"/>
    </xf>
    <xf numFmtId="165" fontId="6" fillId="8" borderId="0" xfId="2" applyNumberFormat="1" applyFont="1" applyFill="1"/>
    <xf numFmtId="165" fontId="0" fillId="8" borderId="0" xfId="2" applyNumberFormat="1" applyFont="1" applyFill="1"/>
    <xf numFmtId="42" fontId="0" fillId="8" borderId="0" xfId="0" applyNumberFormat="1" applyFill="1"/>
    <xf numFmtId="10" fontId="0" fillId="8" borderId="0" xfId="0" applyNumberFormat="1" applyFill="1"/>
    <xf numFmtId="5" fontId="0" fillId="8" borderId="0" xfId="0" applyNumberFormat="1" applyFill="1"/>
    <xf numFmtId="0" fontId="0" fillId="8" borderId="0" xfId="0" applyFill="1" applyAlignment="1">
      <alignment horizontal="center"/>
    </xf>
    <xf numFmtId="164" fontId="0" fillId="8" borderId="0" xfId="0" applyNumberFormat="1" applyFill="1"/>
    <xf numFmtId="7" fontId="0" fillId="0" borderId="0" xfId="0" applyNumberFormat="1"/>
    <xf numFmtId="3" fontId="0" fillId="8" borderId="0" xfId="0" applyNumberFormat="1" applyFill="1"/>
    <xf numFmtId="167" fontId="0" fillId="8" borderId="0" xfId="0" applyNumberFormat="1" applyFill="1"/>
    <xf numFmtId="0" fontId="1" fillId="4" borderId="1" xfId="0" applyFont="1" applyFill="1" applyBorder="1"/>
    <xf numFmtId="164" fontId="6" fillId="8" borderId="0" xfId="0" applyNumberFormat="1" applyFont="1" applyFill="1"/>
    <xf numFmtId="0" fontId="1" fillId="5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10" borderId="1" xfId="0" applyFont="1" applyFill="1" applyBorder="1"/>
    <xf numFmtId="165" fontId="11" fillId="10" borderId="1" xfId="2" applyNumberFormat="1" applyFont="1" applyFill="1" applyBorder="1" applyAlignment="1">
      <alignment horizontal="center"/>
    </xf>
    <xf numFmtId="165" fontId="11" fillId="10" borderId="1" xfId="2" applyNumberFormat="1" applyFont="1" applyFill="1" applyBorder="1"/>
    <xf numFmtId="0" fontId="11" fillId="11" borderId="1" xfId="0" applyFont="1" applyFill="1" applyBorder="1"/>
    <xf numFmtId="165" fontId="11" fillId="11" borderId="1" xfId="2" applyNumberFormat="1" applyFont="1" applyFill="1" applyBorder="1" applyAlignment="1">
      <alignment horizontal="center"/>
    </xf>
    <xf numFmtId="165" fontId="11" fillId="11" borderId="1" xfId="2" applyNumberFormat="1" applyFont="1" applyFill="1" applyBorder="1"/>
    <xf numFmtId="9" fontId="11" fillId="11" borderId="7" xfId="2" applyNumberFormat="1" applyFont="1" applyFill="1" applyBorder="1" applyAlignment="1">
      <alignment horizontal="center"/>
    </xf>
    <xf numFmtId="9" fontId="11" fillId="11" borderId="1" xfId="2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0" fontId="0" fillId="0" borderId="0" xfId="0" applyNumberFormat="1"/>
    <xf numFmtId="0" fontId="10" fillId="9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CCCCFF"/>
      <color rgb="FFA8C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142874</xdr:rowOff>
    </xdr:from>
    <xdr:to>
      <xdr:col>15</xdr:col>
      <xdr:colOff>76200</xdr:colOff>
      <xdr:row>35</xdr:row>
      <xdr:rowOff>190499</xdr:rowOff>
    </xdr:to>
    <xdr:sp macro="" textlink="">
      <xdr:nvSpPr>
        <xdr:cNvPr id="2" name="TextBox 1"/>
        <xdr:cNvSpPr txBox="1"/>
      </xdr:nvSpPr>
      <xdr:spPr>
        <a:xfrm>
          <a:off x="428625" y="333374"/>
          <a:ext cx="8791575" cy="652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  <a:p>
          <a:pPr algn="ctr"/>
          <a:r>
            <a:rPr lang="en-US" sz="1100" b="1"/>
            <a:t>Assumptions for the generation of  CN.com finiancial information</a:t>
          </a:r>
        </a:p>
        <a:p>
          <a:pPr algn="ctr"/>
          <a:endParaRPr lang="en-US" sz="1100" b="1"/>
        </a:p>
        <a:p>
          <a:pPr algn="ctr"/>
          <a:r>
            <a:rPr lang="en-US" sz="1100" b="1"/>
            <a:t>All finiancial assumptions are based on a 12 region launch and 12 regions per year in growth </a:t>
          </a:r>
        </a:p>
        <a:p>
          <a:pPr algn="ctr"/>
          <a:r>
            <a:rPr lang="en-US" sz="800" b="1"/>
            <a:t>( 48 Regions Selected for Development in North America)</a:t>
          </a:r>
        </a:p>
        <a:p>
          <a:pPr algn="ctr"/>
          <a:endParaRPr lang="en-US" sz="1100" b="1"/>
        </a:p>
        <a:p>
          <a:pPr algn="ctr"/>
          <a:endParaRPr lang="en-US" sz="1100" b="1"/>
        </a:p>
        <a:p>
          <a:pPr algn="l"/>
          <a:r>
            <a:rPr lang="en-US" sz="1100" b="1"/>
            <a:t>Subscription Assumptions</a:t>
          </a:r>
        </a:p>
        <a:p>
          <a:pPr algn="l"/>
          <a:endParaRPr lang="en-US" sz="1100" b="1"/>
        </a:p>
        <a:p>
          <a:pPr algn="l"/>
          <a:r>
            <a:rPr lang="en-US" sz="1100" b="1" baseline="0"/>
            <a:t> - </a:t>
          </a:r>
          <a:r>
            <a:rPr lang="en-US" sz="1100" b="0" baseline="0"/>
            <a:t>75% of members will opt for "free" option</a:t>
          </a:r>
        </a:p>
        <a:p>
          <a:pPr algn="l"/>
          <a:r>
            <a:rPr lang="en-US" sz="1100" b="0" baseline="0"/>
            <a:t> - 20% of members will opt for $19 gold package</a:t>
          </a:r>
        </a:p>
        <a:p>
          <a:pPr algn="l"/>
          <a:r>
            <a:rPr lang="en-US" sz="1100" b="0" baseline="0"/>
            <a:t> - 5% of members will opt for $49 platinum package</a:t>
          </a:r>
        </a:p>
        <a:p>
          <a:pPr algn="l"/>
          <a:r>
            <a:rPr lang="en-US" sz="1100" b="0" baseline="0"/>
            <a:t> </a:t>
          </a:r>
          <a:endParaRPr lang="en-US" sz="1100" b="1" baseline="0"/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Purveyor listing assumptions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 - we will be able to capture 30 national purveyors to list @ $600 p/m flat, starting @15000 members</a:t>
          </a:r>
        </a:p>
        <a:p>
          <a:pPr algn="l"/>
          <a:r>
            <a:rPr lang="en-US" sz="1100" b="0" baseline="0"/>
            <a:t> - by 20000 members we will be able to capture approx 350 regional purveyors @$350 p/m flat ( 30 per region)</a:t>
          </a:r>
        </a:p>
        <a:p>
          <a:pPr algn="l"/>
          <a:r>
            <a:rPr lang="en-US" sz="1100" b="0" baseline="0"/>
            <a:t> -  by 15000 members we will be able to capture 100 non food purveyors @150 p/m flat ( 10 per region)</a:t>
          </a:r>
        </a:p>
        <a:p>
          <a:pPr algn="l"/>
          <a:endParaRPr lang="en-US" sz="1100" b="0" baseline="0"/>
        </a:p>
        <a:p>
          <a:pPr algn="l"/>
          <a:r>
            <a:rPr lang="en-US" sz="1100" b="1" baseline="0"/>
            <a:t>Activity Assumptions</a:t>
          </a:r>
        </a:p>
        <a:p>
          <a:pPr algn="l"/>
          <a:endParaRPr lang="en-US" sz="1100" b="1" baseline="0"/>
        </a:p>
        <a:p>
          <a:pPr algn="l"/>
          <a:r>
            <a:rPr lang="en-US" sz="1100" b="1" baseline="0"/>
            <a:t> </a:t>
          </a:r>
          <a:r>
            <a:rPr lang="en-US" sz="1100" b="0" baseline="0"/>
            <a:t>- 1% of the membership field to purchase 1 job listing per month @$75</a:t>
          </a:r>
        </a:p>
        <a:p>
          <a:pPr algn="l"/>
          <a:r>
            <a:rPr lang="en-US" sz="1100" b="0" baseline="0"/>
            <a:t> - .5 of 1% to purchase a ChefSeeker profile monthly@$45</a:t>
          </a:r>
        </a:p>
        <a:p>
          <a:pPr algn="l"/>
          <a:r>
            <a:rPr lang="en-US" sz="1100" b="0" baseline="0"/>
            <a:t> - 25% of membership field to spend $10 per month through marketplace portal</a:t>
          </a:r>
        </a:p>
        <a:p>
          <a:pPr algn="l"/>
          <a:r>
            <a:rPr lang="en-US" sz="1100" b="0" baseline="0"/>
            <a:t> </a:t>
          </a:r>
        </a:p>
        <a:p>
          <a:pPr algn="l"/>
          <a:endParaRPr lang="en-US" sz="1100" b="0" baseline="0"/>
        </a:p>
        <a:p>
          <a:pPr algn="l"/>
          <a:r>
            <a:rPr lang="en-US" sz="1100" b="1" baseline="0"/>
            <a:t>Ad Revenue Assumptions</a:t>
          </a:r>
        </a:p>
        <a:p>
          <a:pPr algn="l"/>
          <a:endParaRPr lang="en-US" sz="1100" b="0" baseline="0"/>
        </a:p>
        <a:p>
          <a:pPr algn="l"/>
          <a:r>
            <a:rPr lang="en-US" sz="1100" b="0" baseline="0"/>
            <a:t>We anticipate this will be our largest revenue contributer, however due to the virtual impossiblity of accurate forecasting of this type of revenue and performance, we have forecasted ad revenue at a rediculously low contribution level , (3% of total revenue collected @ top membership threshhold.)</a:t>
          </a:r>
        </a:p>
        <a:p>
          <a:pPr algn="l"/>
          <a:endParaRPr lang="en-US" sz="1100" b="0"/>
        </a:p>
        <a:p>
          <a:pPr algn="l"/>
          <a:r>
            <a:rPr lang="en-US" sz="1100" b="0"/>
            <a:t>This demonstrates</a:t>
          </a:r>
          <a:r>
            <a:rPr lang="en-US" sz="1100" b="0" baseline="0"/>
            <a:t> the viability of the revenue model, as it is a</a:t>
          </a:r>
          <a:r>
            <a:rPr lang="en-US" sz="1100" b="0" i="1" baseline="0"/>
            <a:t> very </a:t>
          </a:r>
          <a:r>
            <a:rPr lang="en-US" sz="1100" b="0" baseline="0"/>
            <a:t>safe assumption that we could easily see 400 - 1000% more in this area. Until we begin to collect demographic  and activity data to drive ad revenue rates, we will remain militantly conservative in this area.</a:t>
          </a:r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11907</xdr:rowOff>
    </xdr:from>
    <xdr:to>
      <xdr:col>1</xdr:col>
      <xdr:colOff>263664</xdr:colOff>
      <xdr:row>1</xdr:row>
      <xdr:rowOff>109537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11907"/>
          <a:ext cx="2132945" cy="1002505"/>
        </a:xfrm>
        <a:prstGeom prst="rect">
          <a:avLst/>
        </a:prstGeom>
      </xdr:spPr>
    </xdr:pic>
    <xdr:clientData/>
  </xdr:twoCellAnchor>
  <xdr:twoCellAnchor>
    <xdr:from>
      <xdr:col>2</xdr:col>
      <xdr:colOff>202405</xdr:colOff>
      <xdr:row>0</xdr:row>
      <xdr:rowOff>678657</xdr:rowOff>
    </xdr:from>
    <xdr:to>
      <xdr:col>14</xdr:col>
      <xdr:colOff>857249</xdr:colOff>
      <xdr:row>0</xdr:row>
      <xdr:rowOff>702469</xdr:rowOff>
    </xdr:to>
    <xdr:cxnSp macro="">
      <xdr:nvCxnSpPr>
        <xdr:cNvPr id="4" name="Straight Arrow Connector 3"/>
        <xdr:cNvCxnSpPr/>
      </xdr:nvCxnSpPr>
      <xdr:spPr>
        <a:xfrm flipV="1">
          <a:off x="2940843" y="678657"/>
          <a:ext cx="10691812" cy="2381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607219</xdr:colOff>
      <xdr:row>0</xdr:row>
      <xdr:rowOff>214313</xdr:rowOff>
    </xdr:from>
    <xdr:to>
      <xdr:col>13</xdr:col>
      <xdr:colOff>119062</xdr:colOff>
      <xdr:row>0</xdr:row>
      <xdr:rowOff>535782</xdr:rowOff>
    </xdr:to>
    <xdr:sp macro="" textlink="">
      <xdr:nvSpPr>
        <xdr:cNvPr id="5" name="TextBox 4"/>
        <xdr:cNvSpPr txBox="1"/>
      </xdr:nvSpPr>
      <xdr:spPr>
        <a:xfrm>
          <a:off x="4071938" y="214313"/>
          <a:ext cx="7929562" cy="3214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48</a:t>
          </a:r>
          <a:r>
            <a:rPr lang="en-US" sz="1100" baseline="0"/>
            <a:t> months of growth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G39" sqref="G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6"/>
  <sheetViews>
    <sheetView showGridLines="0" zoomScale="80" zoomScaleNormal="80" workbookViewId="0">
      <selection activeCell="Q4" sqref="Q4"/>
    </sheetView>
  </sheetViews>
  <sheetFormatPr defaultRowHeight="15" x14ac:dyDescent="0.25"/>
  <cols>
    <col min="1" max="1" width="30" customWidth="1"/>
    <col min="2" max="2" width="11" customWidth="1"/>
    <col min="3" max="3" width="10.85546875" customWidth="1"/>
    <col min="4" max="6" width="12.42578125" customWidth="1"/>
    <col min="7" max="7" width="11.7109375" customWidth="1"/>
    <col min="8" max="9" width="12.42578125" customWidth="1"/>
    <col min="10" max="11" width="12.28515625" customWidth="1"/>
    <col min="12" max="12" width="14.85546875" customWidth="1"/>
    <col min="13" max="13" width="12.5703125" customWidth="1"/>
    <col min="14" max="14" width="13.42578125" customWidth="1"/>
    <col min="15" max="15" width="14.5703125" customWidth="1"/>
    <col min="16" max="18" width="11.28515625" customWidth="1"/>
  </cols>
  <sheetData>
    <row r="1" spans="1:18" ht="71.25" customHeight="1" x14ac:dyDescent="0.25"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3" spans="1:18" ht="30" x14ac:dyDescent="0.25">
      <c r="A3" s="82" t="s">
        <v>132</v>
      </c>
      <c r="B3" s="83"/>
      <c r="C3" s="83"/>
      <c r="D3" s="83"/>
      <c r="E3" s="83"/>
      <c r="F3" s="83"/>
      <c r="G3" s="83"/>
      <c r="H3" s="83"/>
      <c r="I3" s="83"/>
      <c r="J3" s="83"/>
      <c r="K3" s="67"/>
      <c r="L3" s="67"/>
      <c r="M3" s="67"/>
      <c r="N3" s="67"/>
      <c r="O3" s="68"/>
    </row>
    <row r="4" spans="1:18" ht="33" x14ac:dyDescent="0.25">
      <c r="A4" s="19" t="s">
        <v>14</v>
      </c>
      <c r="B4" s="18" t="s">
        <v>15</v>
      </c>
      <c r="C4" s="20">
        <v>5000</v>
      </c>
      <c r="D4" s="20">
        <v>10000</v>
      </c>
      <c r="E4" s="20">
        <v>15000</v>
      </c>
      <c r="F4" s="20">
        <v>20000</v>
      </c>
      <c r="G4" s="20">
        <v>25000</v>
      </c>
      <c r="H4" s="20">
        <v>30000</v>
      </c>
      <c r="I4" s="20">
        <v>35000</v>
      </c>
      <c r="J4" s="20">
        <v>40000</v>
      </c>
      <c r="K4" s="20">
        <v>50000</v>
      </c>
      <c r="L4" s="20">
        <v>60000</v>
      </c>
      <c r="M4" s="20">
        <v>65000</v>
      </c>
      <c r="N4" s="20">
        <v>75000</v>
      </c>
      <c r="O4" s="20">
        <v>85000</v>
      </c>
    </row>
    <row r="5" spans="1:18" ht="16.5" x14ac:dyDescent="0.3">
      <c r="A5" s="13" t="s">
        <v>133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</row>
    <row r="6" spans="1:18" ht="16.5" x14ac:dyDescent="0.3">
      <c r="A6" s="13" t="s">
        <v>134</v>
      </c>
      <c r="B6" s="35">
        <v>19</v>
      </c>
      <c r="C6" s="35">
        <f>SUM(B6*C4)*0.2</f>
        <v>19000</v>
      </c>
      <c r="D6" s="35">
        <f>SUM(B6*D4)*0.2</f>
        <v>38000</v>
      </c>
      <c r="E6" s="35">
        <f>SUM(B6*E4)*0.2</f>
        <v>57000</v>
      </c>
      <c r="F6" s="35">
        <f>SUM(B6*F4)*0.2</f>
        <v>76000</v>
      </c>
      <c r="G6" s="35">
        <f>SUM(B6*G4)*0.2</f>
        <v>95000</v>
      </c>
      <c r="H6" s="35">
        <f>SUM(B6*H4)*0.2</f>
        <v>114000</v>
      </c>
      <c r="I6" s="35">
        <f>SUM(B6*I4)*0.25</f>
        <v>166250</v>
      </c>
      <c r="J6" s="35">
        <f>SUM(B6*J4)*0.25</f>
        <v>190000</v>
      </c>
      <c r="K6" s="35">
        <f>SUM(B6*K4)*0.25</f>
        <v>237500</v>
      </c>
      <c r="L6" s="35">
        <f>SUM(B6*L4)*0.25</f>
        <v>285000</v>
      </c>
      <c r="M6" s="35">
        <f>SUM(B6*M4)*0.25</f>
        <v>308750</v>
      </c>
      <c r="N6" s="35">
        <f>SUM(B6*N4)*0.25</f>
        <v>356250</v>
      </c>
      <c r="O6" s="35">
        <f>SUM(B6*O4)*0.28</f>
        <v>452200.00000000006</v>
      </c>
    </row>
    <row r="7" spans="1:18" ht="16.5" x14ac:dyDescent="0.3">
      <c r="A7" s="13" t="s">
        <v>135</v>
      </c>
      <c r="B7" s="35">
        <v>49</v>
      </c>
      <c r="C7" s="35"/>
      <c r="D7" s="35"/>
      <c r="E7" s="35"/>
      <c r="F7" s="35"/>
      <c r="G7" s="35"/>
      <c r="H7" s="35"/>
      <c r="I7" s="35">
        <f>SUM(B7*I4)*0.05</f>
        <v>85750</v>
      </c>
      <c r="J7" s="35">
        <f>SUM(B7*J4)*0.05</f>
        <v>98000</v>
      </c>
      <c r="K7" s="35">
        <f>SUM(B7*K4)*0.05</f>
        <v>122500</v>
      </c>
      <c r="L7" s="35">
        <f>SUM(B7*L4)*0.05</f>
        <v>147000</v>
      </c>
      <c r="M7" s="35">
        <f>SUM(B7*M4)*0.05</f>
        <v>159250</v>
      </c>
      <c r="N7" s="35">
        <f>SUM(B7*N4)*0.05</f>
        <v>183750</v>
      </c>
      <c r="O7" s="35">
        <f>SUM(B7*O4)*0.05</f>
        <v>208250</v>
      </c>
    </row>
    <row r="8" spans="1:18" ht="16.5" x14ac:dyDescent="0.3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1:18" ht="16.5" x14ac:dyDescent="0.3">
      <c r="A9" s="73" t="s">
        <v>115</v>
      </c>
      <c r="B9" s="74"/>
      <c r="C9" s="74">
        <f>C7+C6</f>
        <v>19000</v>
      </c>
      <c r="D9" s="74">
        <f t="shared" ref="D9:O9" si="0">D7+D6</f>
        <v>38000</v>
      </c>
      <c r="E9" s="74">
        <f t="shared" si="0"/>
        <v>57000</v>
      </c>
      <c r="F9" s="74">
        <f t="shared" si="0"/>
        <v>76000</v>
      </c>
      <c r="G9" s="74">
        <f t="shared" si="0"/>
        <v>95000</v>
      </c>
      <c r="H9" s="74">
        <f t="shared" si="0"/>
        <v>114000</v>
      </c>
      <c r="I9" s="74">
        <f t="shared" si="0"/>
        <v>252000</v>
      </c>
      <c r="J9" s="74">
        <f t="shared" si="0"/>
        <v>288000</v>
      </c>
      <c r="K9" s="74">
        <f t="shared" si="0"/>
        <v>360000</v>
      </c>
      <c r="L9" s="74">
        <f t="shared" si="0"/>
        <v>432000</v>
      </c>
      <c r="M9" s="74">
        <f t="shared" si="0"/>
        <v>468000</v>
      </c>
      <c r="N9" s="74">
        <f t="shared" si="0"/>
        <v>540000</v>
      </c>
      <c r="O9" s="74">
        <f t="shared" si="0"/>
        <v>660450</v>
      </c>
      <c r="P9" s="76">
        <f>SUM(O9/O35)</f>
        <v>0.50661603958117596</v>
      </c>
    </row>
    <row r="10" spans="1:18" ht="16.5" x14ac:dyDescent="0.3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1:18" ht="16.5" x14ac:dyDescent="0.3">
      <c r="A11" s="13" t="s">
        <v>136</v>
      </c>
      <c r="B11" s="35">
        <f>600*30</f>
        <v>18000</v>
      </c>
      <c r="C11" s="35"/>
      <c r="D11" s="35"/>
      <c r="E11" s="35"/>
      <c r="F11" s="35">
        <f t="shared" ref="F11:O11" si="1">600*30</f>
        <v>18000</v>
      </c>
      <c r="G11" s="35">
        <f t="shared" si="1"/>
        <v>18000</v>
      </c>
      <c r="H11" s="35">
        <f t="shared" si="1"/>
        <v>18000</v>
      </c>
      <c r="I11" s="35">
        <f t="shared" si="1"/>
        <v>18000</v>
      </c>
      <c r="J11" s="35">
        <f t="shared" si="1"/>
        <v>18000</v>
      </c>
      <c r="K11" s="35">
        <f t="shared" si="1"/>
        <v>18000</v>
      </c>
      <c r="L11" s="35">
        <f t="shared" si="1"/>
        <v>18000</v>
      </c>
      <c r="M11" s="35">
        <f t="shared" si="1"/>
        <v>18000</v>
      </c>
      <c r="N11" s="35">
        <f t="shared" si="1"/>
        <v>18000</v>
      </c>
      <c r="O11" s="35">
        <f t="shared" si="1"/>
        <v>18000</v>
      </c>
    </row>
    <row r="12" spans="1:18" ht="16.5" x14ac:dyDescent="0.3">
      <c r="A12" s="13" t="s">
        <v>137</v>
      </c>
      <c r="B12" s="35">
        <v>350</v>
      </c>
      <c r="C12" s="35"/>
      <c r="D12" s="35"/>
      <c r="E12" s="35"/>
      <c r="F12" s="35">
        <f>SUM(30*350) *10</f>
        <v>105000</v>
      </c>
      <c r="G12" s="35">
        <f>SUM(30*350) *12</f>
        <v>126000</v>
      </c>
      <c r="H12" s="35">
        <f>SUM(30*350) *14</f>
        <v>147000</v>
      </c>
      <c r="I12" s="35">
        <f>SUM(30*350) *16</f>
        <v>168000</v>
      </c>
      <c r="J12" s="35">
        <f>SUM(30*350) *18</f>
        <v>189000</v>
      </c>
      <c r="K12" s="35">
        <f>SUM(30*350) *20</f>
        <v>210000</v>
      </c>
      <c r="L12" s="35">
        <f>SUM(30*350) *25</f>
        <v>262500</v>
      </c>
      <c r="M12" s="35">
        <f>SUM(30*350) *28</f>
        <v>294000</v>
      </c>
      <c r="N12" s="35">
        <f>SUM(30*350) *30</f>
        <v>315000</v>
      </c>
      <c r="O12" s="35">
        <f>SUM(30*350) *35</f>
        <v>367500</v>
      </c>
    </row>
    <row r="13" spans="1:18" ht="16.5" x14ac:dyDescent="0.3">
      <c r="A13" s="13" t="s">
        <v>138</v>
      </c>
      <c r="B13" s="35">
        <v>150</v>
      </c>
      <c r="C13" s="35"/>
      <c r="D13" s="35"/>
      <c r="E13" s="35"/>
      <c r="F13" s="35">
        <f>SUM(10*150) *10</f>
        <v>15000</v>
      </c>
      <c r="G13" s="35">
        <f>SUM(10*150) *12</f>
        <v>18000</v>
      </c>
      <c r="H13" s="35">
        <f>SUM(10*150) *14</f>
        <v>21000</v>
      </c>
      <c r="I13" s="35">
        <f>SUM(10*150) *16</f>
        <v>24000</v>
      </c>
      <c r="J13" s="35">
        <f>SUM(10*150) *18</f>
        <v>27000</v>
      </c>
      <c r="K13" s="35">
        <f>SUM(10*150) *20</f>
        <v>30000</v>
      </c>
      <c r="L13" s="35">
        <f>SUM(10*150) *25</f>
        <v>37500</v>
      </c>
      <c r="M13" s="35">
        <f>SUM(10*150) *28</f>
        <v>42000</v>
      </c>
      <c r="N13" s="35">
        <f>SUM(10*150) *30</f>
        <v>45000</v>
      </c>
      <c r="O13" s="35">
        <f>SUM(10*150) *35</f>
        <v>52500</v>
      </c>
    </row>
    <row r="14" spans="1:18" ht="16.5" x14ac:dyDescent="0.3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1:18" ht="16.5" x14ac:dyDescent="0.3">
      <c r="A15" s="73" t="s">
        <v>113</v>
      </c>
      <c r="B15" s="74"/>
      <c r="C15" s="74"/>
      <c r="D15" s="74"/>
      <c r="E15" s="74"/>
      <c r="F15" s="74">
        <f>SUM(F11:F13)</f>
        <v>138000</v>
      </c>
      <c r="G15" s="74">
        <f t="shared" ref="G15:O15" si="2">SUM(G11:G13)</f>
        <v>162000</v>
      </c>
      <c r="H15" s="74">
        <f t="shared" si="2"/>
        <v>186000</v>
      </c>
      <c r="I15" s="74">
        <f t="shared" si="2"/>
        <v>210000</v>
      </c>
      <c r="J15" s="74">
        <f t="shared" si="2"/>
        <v>234000</v>
      </c>
      <c r="K15" s="74">
        <f t="shared" si="2"/>
        <v>258000</v>
      </c>
      <c r="L15" s="74">
        <f t="shared" si="2"/>
        <v>318000</v>
      </c>
      <c r="M15" s="74">
        <f t="shared" si="2"/>
        <v>354000</v>
      </c>
      <c r="N15" s="74">
        <f t="shared" si="2"/>
        <v>378000</v>
      </c>
      <c r="O15" s="74">
        <f t="shared" si="2"/>
        <v>438000</v>
      </c>
      <c r="P15" s="76">
        <f>SUM(O15/O35)</f>
        <v>0.3359797491658037</v>
      </c>
    </row>
    <row r="16" spans="1:18" ht="16.5" x14ac:dyDescent="0.3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6" ht="16.5" x14ac:dyDescent="0.3">
      <c r="A17" s="13" t="s">
        <v>142</v>
      </c>
      <c r="B17" s="35">
        <v>75</v>
      </c>
      <c r="C17" s="35">
        <f>SUM(C4*1%)*B17</f>
        <v>3750</v>
      </c>
      <c r="D17" s="35">
        <f>SUM(D4*1%)*B17</f>
        <v>7500</v>
      </c>
      <c r="E17" s="35">
        <f>SUM(E4*1%)*B17</f>
        <v>11250</v>
      </c>
      <c r="F17" s="35">
        <f>SUM(F4*1%)*B17</f>
        <v>15000</v>
      </c>
      <c r="G17" s="35">
        <f>SUM(G4*1%)*B17</f>
        <v>18750</v>
      </c>
      <c r="H17" s="35">
        <f>SUM(H4*1%)*B17</f>
        <v>22500</v>
      </c>
      <c r="I17" s="35">
        <f>SUM(I4*1%)*B17</f>
        <v>26250</v>
      </c>
      <c r="J17" s="35">
        <f>SUM(J4*1%)*B17</f>
        <v>30000</v>
      </c>
      <c r="K17" s="35">
        <f>SUM(K4*1%)*B17</f>
        <v>37500</v>
      </c>
      <c r="L17" s="35">
        <f>SUM(L4*1%)*B17</f>
        <v>45000</v>
      </c>
      <c r="M17" s="35">
        <f>SUM(M4*1%)*B17</f>
        <v>48750</v>
      </c>
      <c r="N17" s="35">
        <f>SUM(N4*1%)*B17</f>
        <v>56250</v>
      </c>
      <c r="O17" s="35">
        <f>SUM(O4*1%)*B17</f>
        <v>63750</v>
      </c>
    </row>
    <row r="18" spans="1:16" ht="16.5" x14ac:dyDescent="0.3">
      <c r="A18" s="13" t="s">
        <v>139</v>
      </c>
      <c r="B18" s="35">
        <v>45</v>
      </c>
      <c r="C18" s="35">
        <f>SUM(C4*0.005)*B18</f>
        <v>1125</v>
      </c>
      <c r="D18" s="35">
        <f>SUM(D4*0.01)*B18</f>
        <v>4500</v>
      </c>
      <c r="E18" s="35">
        <f>SUM(E4*0.01)*B18</f>
        <v>6750</v>
      </c>
      <c r="F18" s="35">
        <f>SUM(F4*0.01)*B18</f>
        <v>9000</v>
      </c>
      <c r="G18" s="35">
        <f>SUM(G4*0.01)*B18</f>
        <v>11250</v>
      </c>
      <c r="H18" s="35">
        <f>SUM(H4*0.01)*B18</f>
        <v>13500</v>
      </c>
      <c r="I18" s="35">
        <f>SUM(I4*0.01)*B18</f>
        <v>15750</v>
      </c>
      <c r="J18" s="35">
        <f>SUM(J4*0.01)*B18</f>
        <v>18000</v>
      </c>
      <c r="K18" s="35">
        <f>SUM(K4*0.01)*B18</f>
        <v>22500</v>
      </c>
      <c r="L18" s="35">
        <f>SUM(L4*0.01)*B18</f>
        <v>27000</v>
      </c>
      <c r="M18" s="35">
        <f>SUM(M4*0.01)*B18</f>
        <v>29250</v>
      </c>
      <c r="N18" s="35">
        <f>SUM(N4*0.01)*B18</f>
        <v>33750</v>
      </c>
      <c r="O18" s="35">
        <f>SUM(O4*0.01)*B18</f>
        <v>38250</v>
      </c>
    </row>
    <row r="19" spans="1:16" ht="16.5" x14ac:dyDescent="0.3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6" ht="16.5" x14ac:dyDescent="0.3">
      <c r="A20" s="73" t="s">
        <v>114</v>
      </c>
      <c r="B20" s="74"/>
      <c r="C20" s="74">
        <f>SUM(C17:C18)</f>
        <v>4875</v>
      </c>
      <c r="D20" s="74">
        <f t="shared" ref="D20:O20" si="3">SUM(D17:D18)</f>
        <v>12000</v>
      </c>
      <c r="E20" s="74">
        <f t="shared" si="3"/>
        <v>18000</v>
      </c>
      <c r="F20" s="74">
        <f t="shared" si="3"/>
        <v>24000</v>
      </c>
      <c r="G20" s="74">
        <f t="shared" si="3"/>
        <v>30000</v>
      </c>
      <c r="H20" s="74">
        <f t="shared" si="3"/>
        <v>36000</v>
      </c>
      <c r="I20" s="74">
        <f t="shared" si="3"/>
        <v>42000</v>
      </c>
      <c r="J20" s="74">
        <f t="shared" si="3"/>
        <v>48000</v>
      </c>
      <c r="K20" s="74">
        <f t="shared" si="3"/>
        <v>60000</v>
      </c>
      <c r="L20" s="74">
        <f t="shared" si="3"/>
        <v>72000</v>
      </c>
      <c r="M20" s="74">
        <f t="shared" si="3"/>
        <v>78000</v>
      </c>
      <c r="N20" s="74">
        <f t="shared" si="3"/>
        <v>90000</v>
      </c>
      <c r="O20" s="74">
        <f t="shared" si="3"/>
        <v>102000</v>
      </c>
      <c r="P20" s="76">
        <f>SUM(O20/O35)</f>
        <v>7.8241859394776209E-2</v>
      </c>
    </row>
    <row r="21" spans="1:16" ht="16.5" x14ac:dyDescent="0.3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6" ht="16.5" x14ac:dyDescent="0.3">
      <c r="A22" s="13" t="s">
        <v>24</v>
      </c>
      <c r="B22" s="14"/>
      <c r="C22" s="35"/>
      <c r="D22" s="35"/>
      <c r="E22" s="35">
        <f t="shared" ref="E22:O22" si="4">SUM(E4*0.25)*1</f>
        <v>3750</v>
      </c>
      <c r="F22" s="35">
        <f t="shared" si="4"/>
        <v>5000</v>
      </c>
      <c r="G22" s="35">
        <f t="shared" si="4"/>
        <v>6250</v>
      </c>
      <c r="H22" s="35">
        <f t="shared" si="4"/>
        <v>7500</v>
      </c>
      <c r="I22" s="35">
        <f t="shared" si="4"/>
        <v>8750</v>
      </c>
      <c r="J22" s="35">
        <f t="shared" si="4"/>
        <v>10000</v>
      </c>
      <c r="K22" s="35">
        <f t="shared" si="4"/>
        <v>12500</v>
      </c>
      <c r="L22" s="35">
        <f t="shared" si="4"/>
        <v>15000</v>
      </c>
      <c r="M22" s="35">
        <f t="shared" si="4"/>
        <v>16250</v>
      </c>
      <c r="N22" s="35">
        <f t="shared" si="4"/>
        <v>18750</v>
      </c>
      <c r="O22" s="35">
        <f t="shared" si="4"/>
        <v>21250</v>
      </c>
    </row>
    <row r="23" spans="1:16" ht="16.5" x14ac:dyDescent="0.3">
      <c r="A23" s="70"/>
      <c r="B23" s="7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6" ht="16.5" x14ac:dyDescent="0.3">
      <c r="A24" s="73" t="s">
        <v>116</v>
      </c>
      <c r="B24" s="75"/>
      <c r="C24" s="74"/>
      <c r="D24" s="74"/>
      <c r="E24" s="74">
        <f>E22</f>
        <v>3750</v>
      </c>
      <c r="F24" s="74">
        <f t="shared" ref="F24:O24" si="5">F22</f>
        <v>5000</v>
      </c>
      <c r="G24" s="74">
        <f t="shared" si="5"/>
        <v>6250</v>
      </c>
      <c r="H24" s="74">
        <f t="shared" si="5"/>
        <v>7500</v>
      </c>
      <c r="I24" s="74">
        <f t="shared" si="5"/>
        <v>8750</v>
      </c>
      <c r="J24" s="74">
        <f t="shared" si="5"/>
        <v>10000</v>
      </c>
      <c r="K24" s="74">
        <f t="shared" si="5"/>
        <v>12500</v>
      </c>
      <c r="L24" s="74">
        <f t="shared" si="5"/>
        <v>15000</v>
      </c>
      <c r="M24" s="74">
        <f t="shared" si="5"/>
        <v>16250</v>
      </c>
      <c r="N24" s="74">
        <f t="shared" si="5"/>
        <v>18750</v>
      </c>
      <c r="O24" s="74">
        <f t="shared" si="5"/>
        <v>21250</v>
      </c>
      <c r="P24" s="77">
        <f>SUM(O24/O35)</f>
        <v>1.630038737391171E-2</v>
      </c>
    </row>
    <row r="25" spans="1:16" ht="16.5" x14ac:dyDescent="0.3">
      <c r="A25" s="70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6" ht="16.5" x14ac:dyDescent="0.3">
      <c r="A26" s="13" t="s">
        <v>17</v>
      </c>
      <c r="B26" s="14"/>
      <c r="C26" s="35"/>
      <c r="D26" s="35">
        <f t="shared" ref="D26:O26" si="6">SUM(D4*0.005)*29</f>
        <v>1450</v>
      </c>
      <c r="E26" s="35">
        <f t="shared" si="6"/>
        <v>2175</v>
      </c>
      <c r="F26" s="35">
        <f t="shared" si="6"/>
        <v>2900</v>
      </c>
      <c r="G26" s="35">
        <f t="shared" si="6"/>
        <v>3625</v>
      </c>
      <c r="H26" s="35">
        <f t="shared" si="6"/>
        <v>4350</v>
      </c>
      <c r="I26" s="35">
        <f t="shared" si="6"/>
        <v>5075</v>
      </c>
      <c r="J26" s="35">
        <f t="shared" si="6"/>
        <v>5800</v>
      </c>
      <c r="K26" s="35">
        <f t="shared" si="6"/>
        <v>7250</v>
      </c>
      <c r="L26" s="35">
        <f t="shared" si="6"/>
        <v>8700</v>
      </c>
      <c r="M26" s="35">
        <f t="shared" si="6"/>
        <v>9425</v>
      </c>
      <c r="N26" s="35">
        <f t="shared" si="6"/>
        <v>10875</v>
      </c>
      <c r="O26" s="35">
        <f t="shared" si="6"/>
        <v>12325</v>
      </c>
    </row>
    <row r="27" spans="1:16" ht="16.5" x14ac:dyDescent="0.3">
      <c r="A27" s="13" t="s">
        <v>18</v>
      </c>
      <c r="B27" s="1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6" ht="16.5" x14ac:dyDescent="0.3">
      <c r="A28" s="13" t="s">
        <v>19</v>
      </c>
      <c r="B28" s="14"/>
      <c r="C28" s="35"/>
      <c r="D28" s="35">
        <f>SUM(D4*0.005*5)</f>
        <v>250</v>
      </c>
      <c r="E28" s="35">
        <f t="shared" ref="E28:O28" si="7">SUM(E4*0.005*5)</f>
        <v>375</v>
      </c>
      <c r="F28" s="35">
        <f t="shared" si="7"/>
        <v>500</v>
      </c>
      <c r="G28" s="35">
        <f t="shared" si="7"/>
        <v>625</v>
      </c>
      <c r="H28" s="35">
        <f t="shared" si="7"/>
        <v>750</v>
      </c>
      <c r="I28" s="35">
        <f t="shared" si="7"/>
        <v>875</v>
      </c>
      <c r="J28" s="35">
        <f t="shared" si="7"/>
        <v>1000</v>
      </c>
      <c r="K28" s="35">
        <f t="shared" si="7"/>
        <v>1250</v>
      </c>
      <c r="L28" s="35">
        <f t="shared" si="7"/>
        <v>1500</v>
      </c>
      <c r="M28" s="35">
        <f t="shared" si="7"/>
        <v>1625</v>
      </c>
      <c r="N28" s="35">
        <f t="shared" si="7"/>
        <v>1875</v>
      </c>
      <c r="O28" s="35">
        <f t="shared" si="7"/>
        <v>2125</v>
      </c>
    </row>
    <row r="29" spans="1:16" ht="16.5" x14ac:dyDescent="0.3">
      <c r="A29" s="13" t="s">
        <v>20</v>
      </c>
      <c r="B29" s="1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6" ht="16.5" x14ac:dyDescent="0.3">
      <c r="A30" s="13" t="s">
        <v>140</v>
      </c>
      <c r="B30" s="14"/>
      <c r="C30" s="35"/>
      <c r="D30" s="35">
        <f>2500*2</f>
        <v>5000</v>
      </c>
      <c r="E30" s="35">
        <f>2500*3</f>
        <v>7500</v>
      </c>
      <c r="F30" s="35">
        <f>2500*4</f>
        <v>10000</v>
      </c>
      <c r="G30" s="35">
        <f>2500*6</f>
        <v>15000</v>
      </c>
      <c r="H30" s="35">
        <f>2500*7</f>
        <v>17500</v>
      </c>
      <c r="I30" s="35">
        <f>2500*8</f>
        <v>20000</v>
      </c>
      <c r="J30" s="35">
        <f>2500*9</f>
        <v>22500</v>
      </c>
      <c r="K30" s="35">
        <f>2500*10</f>
        <v>25000</v>
      </c>
      <c r="L30" s="35">
        <f>2500*10</f>
        <v>25000</v>
      </c>
      <c r="M30" s="35">
        <f>2500*10</f>
        <v>25000</v>
      </c>
      <c r="N30" s="35">
        <f>2500*10</f>
        <v>25000</v>
      </c>
      <c r="O30" s="35">
        <f>2500*10</f>
        <v>25000</v>
      </c>
    </row>
    <row r="31" spans="1:16" ht="16.5" x14ac:dyDescent="0.3">
      <c r="A31" s="13" t="s">
        <v>141</v>
      </c>
      <c r="B31" s="14">
        <v>5</v>
      </c>
      <c r="C31" s="35"/>
      <c r="D31" s="35">
        <f t="shared" ref="D31:O31" si="8">SUM(D4*0.1)*5</f>
        <v>5000</v>
      </c>
      <c r="E31" s="35">
        <f t="shared" si="8"/>
        <v>7500</v>
      </c>
      <c r="F31" s="35">
        <f t="shared" si="8"/>
        <v>10000</v>
      </c>
      <c r="G31" s="35">
        <f t="shared" si="8"/>
        <v>12500</v>
      </c>
      <c r="H31" s="35">
        <f t="shared" si="8"/>
        <v>15000</v>
      </c>
      <c r="I31" s="35">
        <f t="shared" si="8"/>
        <v>17500</v>
      </c>
      <c r="J31" s="35">
        <f t="shared" si="8"/>
        <v>20000</v>
      </c>
      <c r="K31" s="35">
        <f t="shared" si="8"/>
        <v>25000</v>
      </c>
      <c r="L31" s="35">
        <f t="shared" si="8"/>
        <v>30000</v>
      </c>
      <c r="M31" s="35">
        <f t="shared" si="8"/>
        <v>32500</v>
      </c>
      <c r="N31" s="35">
        <f t="shared" si="8"/>
        <v>37500</v>
      </c>
      <c r="O31" s="35">
        <f t="shared" si="8"/>
        <v>42500</v>
      </c>
    </row>
    <row r="32" spans="1:16" ht="16.5" x14ac:dyDescent="0.3">
      <c r="A32" s="70"/>
      <c r="B32" s="72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6" ht="16.5" x14ac:dyDescent="0.3">
      <c r="A33" s="73" t="s">
        <v>117</v>
      </c>
      <c r="B33" s="75"/>
      <c r="C33" s="74"/>
      <c r="D33" s="74">
        <f>SUM(D26:D31)</f>
        <v>11700</v>
      </c>
      <c r="E33" s="74">
        <f t="shared" ref="E33:O33" si="9">SUM(E26:E31)</f>
        <v>17550</v>
      </c>
      <c r="F33" s="74">
        <f t="shared" si="9"/>
        <v>23400</v>
      </c>
      <c r="G33" s="74">
        <f t="shared" si="9"/>
        <v>31750</v>
      </c>
      <c r="H33" s="74">
        <f t="shared" si="9"/>
        <v>37600</v>
      </c>
      <c r="I33" s="74">
        <f t="shared" si="9"/>
        <v>43450</v>
      </c>
      <c r="J33" s="74">
        <f t="shared" si="9"/>
        <v>49300</v>
      </c>
      <c r="K33" s="74">
        <f t="shared" si="9"/>
        <v>58500</v>
      </c>
      <c r="L33" s="74">
        <f t="shared" si="9"/>
        <v>65200</v>
      </c>
      <c r="M33" s="74">
        <f t="shared" si="9"/>
        <v>68550</v>
      </c>
      <c r="N33" s="74">
        <f t="shared" si="9"/>
        <v>75250</v>
      </c>
      <c r="O33" s="74">
        <f t="shared" si="9"/>
        <v>81950</v>
      </c>
      <c r="P33" s="76">
        <f>SUM(O33/O35)</f>
        <v>6.2861964484332455E-2</v>
      </c>
    </row>
    <row r="34" spans="1:16" ht="16.5" x14ac:dyDescent="0.3">
      <c r="A34" s="70"/>
      <c r="B34" s="72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6" ht="16.5" x14ac:dyDescent="0.3">
      <c r="A35" s="13" t="s">
        <v>16</v>
      </c>
      <c r="B35" s="14"/>
      <c r="C35" s="35">
        <f>C33+C24+C20+C15+C9</f>
        <v>23875</v>
      </c>
      <c r="D35" s="35">
        <f>D33+D24+D20+D15+D9</f>
        <v>61700</v>
      </c>
      <c r="E35" s="35">
        <f t="shared" ref="E35:O35" si="10">E33+E24+E20+E15+E9</f>
        <v>96300</v>
      </c>
      <c r="F35" s="35">
        <f t="shared" si="10"/>
        <v>266400</v>
      </c>
      <c r="G35" s="35">
        <f t="shared" si="10"/>
        <v>325000</v>
      </c>
      <c r="H35" s="35">
        <f t="shared" si="10"/>
        <v>381100</v>
      </c>
      <c r="I35" s="35">
        <f t="shared" si="10"/>
        <v>556200</v>
      </c>
      <c r="J35" s="35">
        <f t="shared" si="10"/>
        <v>629300</v>
      </c>
      <c r="K35" s="35">
        <f t="shared" si="10"/>
        <v>749000</v>
      </c>
      <c r="L35" s="35">
        <f t="shared" si="10"/>
        <v>902200</v>
      </c>
      <c r="M35" s="35">
        <f t="shared" si="10"/>
        <v>984800</v>
      </c>
      <c r="N35" s="35">
        <f t="shared" si="10"/>
        <v>1102000</v>
      </c>
      <c r="O35" s="35">
        <f t="shared" si="10"/>
        <v>1303650</v>
      </c>
    </row>
    <row r="36" spans="1:16" ht="16.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6" ht="16.5" x14ac:dyDescent="0.3">
      <c r="A37" s="16" t="s">
        <v>21</v>
      </c>
      <c r="B37" s="16"/>
      <c r="C37" s="17">
        <f>C35*12</f>
        <v>286500</v>
      </c>
      <c r="D37" s="17">
        <f t="shared" ref="D37:O37" si="11">D35*12</f>
        <v>740400</v>
      </c>
      <c r="E37" s="17">
        <f t="shared" si="11"/>
        <v>1155600</v>
      </c>
      <c r="F37" s="17">
        <f t="shared" si="11"/>
        <v>3196800</v>
      </c>
      <c r="G37" s="17">
        <f t="shared" si="11"/>
        <v>3900000</v>
      </c>
      <c r="H37" s="17">
        <f t="shared" si="11"/>
        <v>4573200</v>
      </c>
      <c r="I37" s="17">
        <f t="shared" si="11"/>
        <v>6674400</v>
      </c>
      <c r="J37" s="17">
        <f t="shared" si="11"/>
        <v>7551600</v>
      </c>
      <c r="K37" s="17">
        <f t="shared" si="11"/>
        <v>8988000</v>
      </c>
      <c r="L37" s="17">
        <f t="shared" si="11"/>
        <v>10826400</v>
      </c>
      <c r="M37" s="17">
        <f t="shared" si="11"/>
        <v>11817600</v>
      </c>
      <c r="N37" s="17">
        <f t="shared" si="11"/>
        <v>13224000</v>
      </c>
      <c r="O37" s="17">
        <f t="shared" si="11"/>
        <v>15643800</v>
      </c>
    </row>
    <row r="41" spans="1:16" x14ac:dyDescent="0.25">
      <c r="A41" t="s">
        <v>56</v>
      </c>
      <c r="C41" s="10">
        <f>C35/5000</f>
        <v>4.7750000000000004</v>
      </c>
      <c r="D41" s="36">
        <f>D35/10000</f>
        <v>6.17</v>
      </c>
      <c r="E41" s="36">
        <f>E35/15000</f>
        <v>6.42</v>
      </c>
      <c r="F41" s="36">
        <f>F35/20000</f>
        <v>13.32</v>
      </c>
      <c r="G41" s="36">
        <f>G35/25000</f>
        <v>13</v>
      </c>
      <c r="H41" s="36">
        <f>H35/30000</f>
        <v>12.703333333333333</v>
      </c>
      <c r="I41" s="36">
        <f>I35/35000</f>
        <v>15.891428571428571</v>
      </c>
      <c r="J41" s="10">
        <f>J35/40000</f>
        <v>15.7325</v>
      </c>
      <c r="K41" s="78">
        <f>K35/50000</f>
        <v>14.98</v>
      </c>
      <c r="L41" s="78">
        <f>L35/60000</f>
        <v>15.036666666666667</v>
      </c>
      <c r="M41" s="78">
        <f>M35/65000</f>
        <v>15.150769230769232</v>
      </c>
      <c r="N41" s="78">
        <f>N35/75000</f>
        <v>14.693333333333333</v>
      </c>
      <c r="O41" s="78">
        <f>O35/85000</f>
        <v>15.337058823529413</v>
      </c>
    </row>
    <row r="46" spans="1:16" x14ac:dyDescent="0.25">
      <c r="M46" s="79"/>
    </row>
  </sheetData>
  <mergeCells count="2">
    <mergeCell ref="H1:R1"/>
    <mergeCell ref="A3:J3"/>
  </mergeCells>
  <pageMargins left="0.7" right="0.7" top="0.75" bottom="0.75" header="0.3" footer="0.3"/>
  <pageSetup orientation="portrait" horizontalDpi="4294967294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2"/>
  <sheetViews>
    <sheetView showGridLines="0" topLeftCell="J10" workbookViewId="0">
      <selection activeCell="O10" sqref="O10:P10"/>
    </sheetView>
  </sheetViews>
  <sheetFormatPr defaultRowHeight="15" x14ac:dyDescent="0.25"/>
  <cols>
    <col min="1" max="1" width="18.42578125" customWidth="1"/>
    <col min="2" max="14" width="11.28515625" customWidth="1"/>
    <col min="15" max="15" width="15.7109375" customWidth="1"/>
  </cols>
  <sheetData>
    <row r="2" spans="1:16" ht="30" x14ac:dyDescent="0.3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  <c r="N2" s="15"/>
      <c r="O2" s="29">
        <f>N4+N5+N7</f>
        <v>142500</v>
      </c>
      <c r="P2" s="15"/>
    </row>
    <row r="3" spans="1:16" ht="16.5" x14ac:dyDescent="0.3">
      <c r="A3" s="27" t="s">
        <v>1</v>
      </c>
      <c r="B3" s="28" t="s">
        <v>23</v>
      </c>
      <c r="C3" s="28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80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15"/>
      <c r="O3" s="15"/>
      <c r="P3" s="15"/>
    </row>
    <row r="4" spans="1:16" ht="16.5" x14ac:dyDescent="0.3">
      <c r="A4" s="62" t="s">
        <v>42</v>
      </c>
      <c r="B4" s="39"/>
      <c r="C4" s="39"/>
      <c r="D4" s="39"/>
      <c r="E4" s="39">
        <v>4000</v>
      </c>
      <c r="F4" s="39">
        <v>4000</v>
      </c>
      <c r="G4" s="39">
        <v>4000</v>
      </c>
      <c r="H4" s="39">
        <v>4000</v>
      </c>
      <c r="I4" s="39">
        <v>4000</v>
      </c>
      <c r="J4" s="39">
        <v>7000</v>
      </c>
      <c r="K4" s="39">
        <v>7000</v>
      </c>
      <c r="L4" s="39">
        <v>7000</v>
      </c>
      <c r="M4" s="39">
        <v>7000</v>
      </c>
      <c r="N4" s="29">
        <f>SUM(B4:M4)</f>
        <v>48000</v>
      </c>
      <c r="O4" s="15"/>
      <c r="P4" s="15"/>
    </row>
    <row r="5" spans="1:16" ht="16.5" x14ac:dyDescent="0.3">
      <c r="A5" s="62" t="s">
        <v>75</v>
      </c>
      <c r="B5" s="39"/>
      <c r="C5" s="39"/>
      <c r="D5" s="39"/>
      <c r="E5" s="39">
        <v>3000</v>
      </c>
      <c r="F5" s="39">
        <v>3000</v>
      </c>
      <c r="G5" s="39">
        <v>3000</v>
      </c>
      <c r="H5" s="39">
        <v>3000</v>
      </c>
      <c r="I5" s="39">
        <v>3000</v>
      </c>
      <c r="J5" s="39">
        <v>5500</v>
      </c>
      <c r="K5" s="39">
        <v>5500</v>
      </c>
      <c r="L5" s="39">
        <v>5500</v>
      </c>
      <c r="M5" s="39">
        <v>5500</v>
      </c>
      <c r="N5" s="29">
        <f>SUM(B5:M5)</f>
        <v>37000</v>
      </c>
      <c r="O5" s="15"/>
      <c r="P5" s="15"/>
    </row>
    <row r="6" spans="1:16" ht="16.5" x14ac:dyDescent="0.3">
      <c r="A6" s="37" t="s">
        <v>37</v>
      </c>
      <c r="B6" s="39">
        <v>25000</v>
      </c>
      <c r="C6" s="39"/>
      <c r="D6" s="39"/>
      <c r="E6" s="39">
        <v>25000</v>
      </c>
      <c r="F6" s="39"/>
      <c r="G6" s="39"/>
      <c r="H6" s="39">
        <v>25000</v>
      </c>
      <c r="I6" s="39"/>
      <c r="J6" s="39"/>
      <c r="K6" s="39">
        <v>45000</v>
      </c>
      <c r="L6" s="39"/>
      <c r="M6" s="39">
        <v>25000</v>
      </c>
      <c r="N6" s="29">
        <f t="shared" ref="N6:N16" si="0">SUM(B6:M6)</f>
        <v>145000</v>
      </c>
      <c r="O6" s="15"/>
      <c r="P6" s="15"/>
    </row>
    <row r="7" spans="1:16" ht="15.75" customHeight="1" x14ac:dyDescent="0.3">
      <c r="A7" s="37" t="s">
        <v>41</v>
      </c>
      <c r="B7" s="39">
        <v>500</v>
      </c>
      <c r="C7" s="39">
        <v>1000</v>
      </c>
      <c r="D7" s="39">
        <v>2000</v>
      </c>
      <c r="E7" s="39">
        <v>6000</v>
      </c>
      <c r="F7" s="39">
        <v>6000</v>
      </c>
      <c r="G7" s="39">
        <v>6000</v>
      </c>
      <c r="H7" s="39">
        <v>6000</v>
      </c>
      <c r="I7" s="39">
        <v>6000</v>
      </c>
      <c r="J7" s="39">
        <v>6000</v>
      </c>
      <c r="K7" s="39">
        <v>6000</v>
      </c>
      <c r="L7" s="39">
        <v>6000</v>
      </c>
      <c r="M7" s="39">
        <v>6000</v>
      </c>
      <c r="N7" s="29">
        <f>SUM(B7:M7)</f>
        <v>57500</v>
      </c>
      <c r="O7" s="15"/>
      <c r="P7" s="15"/>
    </row>
    <row r="8" spans="1:16" ht="16.5" x14ac:dyDescent="0.3">
      <c r="A8" s="37" t="s">
        <v>99</v>
      </c>
      <c r="B8" s="39"/>
      <c r="C8" s="39"/>
      <c r="D8" s="39"/>
      <c r="E8" s="39"/>
      <c r="F8" s="39"/>
      <c r="G8" s="39">
        <v>6000</v>
      </c>
      <c r="H8" s="39"/>
      <c r="I8" s="39">
        <v>1500</v>
      </c>
      <c r="J8" s="39">
        <v>4000</v>
      </c>
      <c r="K8" s="39"/>
      <c r="L8" s="39">
        <v>2500</v>
      </c>
      <c r="M8" s="39">
        <v>2500</v>
      </c>
      <c r="N8" s="29">
        <f>SUM(B8:M8)</f>
        <v>16500</v>
      </c>
      <c r="O8" s="15"/>
      <c r="P8" s="15"/>
    </row>
    <row r="9" spans="1:16" ht="16.5" x14ac:dyDescent="0.3">
      <c r="A9" s="37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9">
        <f>SUM(B9:M9)</f>
        <v>0</v>
      </c>
      <c r="O9" s="15"/>
      <c r="P9" s="15"/>
    </row>
    <row r="10" spans="1:16" ht="16.5" x14ac:dyDescent="0.3">
      <c r="A10" s="37" t="s">
        <v>45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9">
        <f>SUM(B10:M10)</f>
        <v>0</v>
      </c>
      <c r="O10" s="15"/>
      <c r="P10" s="15"/>
    </row>
    <row r="11" spans="1:16" ht="16.5" x14ac:dyDescent="0.3">
      <c r="A11" s="38" t="s">
        <v>38</v>
      </c>
      <c r="B11" s="40"/>
      <c r="C11" s="40"/>
      <c r="D11" s="40"/>
      <c r="E11" s="40">
        <v>2000</v>
      </c>
      <c r="F11" s="40"/>
      <c r="G11" s="40">
        <v>2000</v>
      </c>
      <c r="H11" s="40"/>
      <c r="I11" s="40">
        <v>5000</v>
      </c>
      <c r="J11" s="40"/>
      <c r="K11" s="40">
        <v>5000</v>
      </c>
      <c r="L11" s="40">
        <v>5000</v>
      </c>
      <c r="M11" s="40">
        <v>5000</v>
      </c>
      <c r="N11" s="29">
        <f t="shared" si="0"/>
        <v>24000</v>
      </c>
      <c r="O11" s="15"/>
      <c r="P11" s="15"/>
    </row>
    <row r="12" spans="1:16" ht="16.5" x14ac:dyDescent="0.3">
      <c r="A12" s="38" t="s">
        <v>44</v>
      </c>
      <c r="B12" s="40">
        <v>1500</v>
      </c>
      <c r="C12" s="40"/>
      <c r="D12" s="40">
        <v>500</v>
      </c>
      <c r="E12" s="40">
        <v>1500</v>
      </c>
      <c r="F12" s="40">
        <v>2500</v>
      </c>
      <c r="G12" s="40"/>
      <c r="H12" s="40">
        <v>500</v>
      </c>
      <c r="I12" s="40">
        <v>7500</v>
      </c>
      <c r="J12" s="40">
        <v>5000</v>
      </c>
      <c r="K12" s="40"/>
      <c r="L12" s="40"/>
      <c r="M12" s="40">
        <v>2500</v>
      </c>
      <c r="N12" s="29">
        <f t="shared" si="0"/>
        <v>21500</v>
      </c>
      <c r="O12" s="15"/>
      <c r="P12" s="15"/>
    </row>
    <row r="13" spans="1:16" ht="16.5" x14ac:dyDescent="0.3">
      <c r="A13" s="37" t="s">
        <v>39</v>
      </c>
      <c r="B13" s="40">
        <v>400</v>
      </c>
      <c r="C13" s="40">
        <v>400</v>
      </c>
      <c r="D13" s="40">
        <v>400</v>
      </c>
      <c r="E13" s="40">
        <v>500</v>
      </c>
      <c r="F13" s="40">
        <v>400</v>
      </c>
      <c r="G13" s="40">
        <v>500</v>
      </c>
      <c r="H13" s="40">
        <v>500</v>
      </c>
      <c r="I13" s="40">
        <v>500</v>
      </c>
      <c r="J13" s="40">
        <v>500</v>
      </c>
      <c r="K13" s="40">
        <v>1500</v>
      </c>
      <c r="L13" s="40"/>
      <c r="M13" s="40"/>
      <c r="N13" s="29">
        <f>SUM(B13:M13)</f>
        <v>5600</v>
      </c>
      <c r="O13" s="15"/>
      <c r="P13" s="15"/>
    </row>
    <row r="14" spans="1:16" ht="16.5" x14ac:dyDescent="0.3">
      <c r="A14" s="38" t="s">
        <v>46</v>
      </c>
      <c r="B14" s="40">
        <v>5400</v>
      </c>
      <c r="C14" s="40">
        <v>300</v>
      </c>
      <c r="D14" s="40"/>
      <c r="E14" s="40"/>
      <c r="F14" s="40"/>
      <c r="G14" s="40"/>
      <c r="H14" s="40"/>
      <c r="I14" s="40">
        <v>800</v>
      </c>
      <c r="J14" s="40">
        <v>800</v>
      </c>
      <c r="K14" s="40">
        <v>800</v>
      </c>
      <c r="L14" s="40">
        <v>800</v>
      </c>
      <c r="M14" s="40">
        <v>800</v>
      </c>
      <c r="N14" s="29">
        <f t="shared" si="0"/>
        <v>9700</v>
      </c>
      <c r="O14" s="15"/>
      <c r="P14" s="15"/>
    </row>
    <row r="15" spans="1:16" ht="16.5" x14ac:dyDescent="0.3">
      <c r="A15" s="38" t="s">
        <v>74</v>
      </c>
      <c r="B15" s="40">
        <v>1500</v>
      </c>
      <c r="C15" s="40"/>
      <c r="D15" s="40"/>
      <c r="E15" s="40">
        <v>1500</v>
      </c>
      <c r="F15" s="40"/>
      <c r="G15" s="40"/>
      <c r="H15" s="40">
        <v>1500</v>
      </c>
      <c r="I15" s="40"/>
      <c r="J15" s="40"/>
      <c r="K15" s="40">
        <v>1500</v>
      </c>
      <c r="L15" s="40"/>
      <c r="M15" s="40">
        <v>3000</v>
      </c>
      <c r="N15" s="29">
        <f t="shared" si="0"/>
        <v>9000</v>
      </c>
      <c r="O15" s="15"/>
      <c r="P15" s="15"/>
    </row>
    <row r="16" spans="1:16" ht="16.5" x14ac:dyDescent="0.3">
      <c r="A16" s="38" t="s">
        <v>40</v>
      </c>
      <c r="B16" s="40">
        <v>2000</v>
      </c>
      <c r="C16" s="40"/>
      <c r="D16" s="40"/>
      <c r="E16" s="40">
        <v>2500</v>
      </c>
      <c r="F16" s="40"/>
      <c r="G16" s="40">
        <v>1200</v>
      </c>
      <c r="H16" s="40"/>
      <c r="I16" s="40">
        <v>2500</v>
      </c>
      <c r="J16" s="40"/>
      <c r="K16" s="40">
        <v>3500</v>
      </c>
      <c r="L16" s="40">
        <v>2500</v>
      </c>
      <c r="M16" s="40"/>
      <c r="N16" s="29">
        <f t="shared" si="0"/>
        <v>14200</v>
      </c>
      <c r="O16" s="15"/>
      <c r="P16" s="15"/>
    </row>
    <row r="17" spans="1:16" ht="16.5" x14ac:dyDescent="0.3">
      <c r="A17" s="38" t="s">
        <v>47</v>
      </c>
      <c r="B17" s="40"/>
      <c r="C17" s="40"/>
      <c r="D17" s="40">
        <v>1000</v>
      </c>
      <c r="E17" s="40">
        <v>1000</v>
      </c>
      <c r="F17" s="40"/>
      <c r="G17" s="40"/>
      <c r="H17" s="40">
        <v>2500</v>
      </c>
      <c r="I17" s="40"/>
      <c r="J17" s="40">
        <v>2500</v>
      </c>
      <c r="K17" s="40">
        <v>2500</v>
      </c>
      <c r="L17" s="40"/>
      <c r="M17" s="40">
        <v>2500</v>
      </c>
      <c r="N17" s="29">
        <f>SUM(B17:M17)</f>
        <v>12000</v>
      </c>
      <c r="O17" s="15"/>
      <c r="P17" s="15"/>
    </row>
    <row r="18" spans="1:16" ht="17.25" thickBot="1" x14ac:dyDescent="0.35">
      <c r="A18" s="38" t="s">
        <v>93</v>
      </c>
      <c r="B18" s="41"/>
      <c r="C18" s="41"/>
      <c r="D18" s="41"/>
      <c r="E18" s="41">
        <v>750</v>
      </c>
      <c r="F18" s="41"/>
      <c r="G18" s="41">
        <v>750</v>
      </c>
      <c r="H18" s="41">
        <v>350</v>
      </c>
      <c r="I18" s="41">
        <v>750</v>
      </c>
      <c r="J18" s="41"/>
      <c r="K18" s="41">
        <v>750</v>
      </c>
      <c r="L18" s="41"/>
      <c r="M18" s="41"/>
      <c r="N18" s="29">
        <f>SUM(B18:M18)</f>
        <v>3350</v>
      </c>
      <c r="O18" s="15"/>
      <c r="P18" s="15"/>
    </row>
    <row r="19" spans="1:16" ht="16.5" x14ac:dyDescent="0.3">
      <c r="A19" s="13" t="s">
        <v>73</v>
      </c>
      <c r="B19" s="42">
        <f t="shared" ref="B19:M19" si="1">SUM(B4:B18)</f>
        <v>36300</v>
      </c>
      <c r="C19" s="42">
        <f t="shared" si="1"/>
        <v>1700</v>
      </c>
      <c r="D19" s="42">
        <f t="shared" si="1"/>
        <v>3900</v>
      </c>
      <c r="E19" s="42">
        <f t="shared" si="1"/>
        <v>47750</v>
      </c>
      <c r="F19" s="42">
        <f t="shared" si="1"/>
        <v>15900</v>
      </c>
      <c r="G19" s="42">
        <f t="shared" si="1"/>
        <v>23450</v>
      </c>
      <c r="H19" s="42">
        <f t="shared" si="1"/>
        <v>43350</v>
      </c>
      <c r="I19" s="42">
        <f t="shared" si="1"/>
        <v>31550</v>
      </c>
      <c r="J19" s="42">
        <f t="shared" si="1"/>
        <v>31300</v>
      </c>
      <c r="K19" s="42">
        <f t="shared" si="1"/>
        <v>79050</v>
      </c>
      <c r="L19" s="42">
        <f t="shared" si="1"/>
        <v>29300</v>
      </c>
      <c r="M19" s="42">
        <f t="shared" si="1"/>
        <v>59800</v>
      </c>
      <c r="N19" s="15"/>
      <c r="O19" s="29"/>
      <c r="P19" s="15"/>
    </row>
    <row r="20" spans="1:16" ht="16.5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6.5" x14ac:dyDescent="0.3">
      <c r="A21" s="30" t="s">
        <v>53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9"/>
      <c r="O21" s="15"/>
      <c r="P21" s="15"/>
    </row>
    <row r="22" spans="1:16" ht="16.5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 t="s">
        <v>72</v>
      </c>
      <c r="O22" s="29">
        <f>SUM(B19:M19)</f>
        <v>403350</v>
      </c>
      <c r="P22" s="15"/>
    </row>
  </sheetData>
  <mergeCells count="1">
    <mergeCell ref="A2:M2"/>
  </mergeCells>
  <pageMargins left="0.7" right="0.7" top="0.75" bottom="0.75" header="0.3" footer="0.3"/>
  <pageSetup orientation="portrait" horizont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40"/>
  <sheetViews>
    <sheetView showGridLines="0" topLeftCell="K19" workbookViewId="0">
      <selection activeCell="B12" sqref="B12"/>
    </sheetView>
  </sheetViews>
  <sheetFormatPr defaultRowHeight="15" x14ac:dyDescent="0.25"/>
  <cols>
    <col min="1" max="1" width="31" customWidth="1"/>
    <col min="2" max="10" width="11.28515625" customWidth="1"/>
    <col min="11" max="11" width="13" customWidth="1"/>
    <col min="12" max="13" width="11.28515625" customWidth="1"/>
    <col min="14" max="14" width="5.5703125" customWidth="1"/>
    <col min="15" max="15" width="14.85546875" customWidth="1"/>
    <col min="16" max="16" width="15.7109375" customWidth="1"/>
  </cols>
  <sheetData>
    <row r="2" spans="1:15" ht="31.5" x14ac:dyDescent="0.25">
      <c r="A2" s="85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5" x14ac:dyDescent="0.25">
      <c r="A3" s="4" t="s">
        <v>1</v>
      </c>
      <c r="B3" s="5" t="s">
        <v>25</v>
      </c>
      <c r="C3" s="65" t="s">
        <v>26</v>
      </c>
      <c r="D3" s="64" t="s">
        <v>27</v>
      </c>
      <c r="E3" s="65" t="s">
        <v>28</v>
      </c>
      <c r="F3" s="64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65" t="s">
        <v>34</v>
      </c>
      <c r="L3" s="5" t="s">
        <v>35</v>
      </c>
      <c r="M3" s="5" t="s">
        <v>36</v>
      </c>
    </row>
    <row r="4" spans="1:15" x14ac:dyDescent="0.25">
      <c r="A4" s="6" t="s">
        <v>42</v>
      </c>
      <c r="B4" s="7">
        <v>8500</v>
      </c>
      <c r="C4" s="7">
        <v>8500</v>
      </c>
      <c r="D4" s="7">
        <v>8500</v>
      </c>
      <c r="E4" s="7">
        <v>8500</v>
      </c>
      <c r="F4" s="7">
        <v>10000</v>
      </c>
      <c r="G4" s="7">
        <v>10000</v>
      </c>
      <c r="H4" s="7">
        <v>10000</v>
      </c>
      <c r="I4" s="7">
        <v>10000</v>
      </c>
      <c r="J4" s="7">
        <v>10000</v>
      </c>
      <c r="K4" s="7">
        <v>10000</v>
      </c>
      <c r="L4" s="7">
        <v>10000</v>
      </c>
      <c r="M4" s="7">
        <v>10000</v>
      </c>
      <c r="O4" s="3">
        <f>SUM(B4:M4)</f>
        <v>114000</v>
      </c>
    </row>
    <row r="5" spans="1:15" x14ac:dyDescent="0.25">
      <c r="A5" s="6" t="s">
        <v>75</v>
      </c>
      <c r="B5" s="7">
        <v>7500</v>
      </c>
      <c r="C5" s="7">
        <v>7500</v>
      </c>
      <c r="D5" s="7">
        <v>7500</v>
      </c>
      <c r="E5" s="7">
        <v>7500</v>
      </c>
      <c r="F5" s="7">
        <v>8500</v>
      </c>
      <c r="G5" s="7">
        <v>8500</v>
      </c>
      <c r="H5" s="7">
        <v>8500</v>
      </c>
      <c r="I5" s="7">
        <v>8500</v>
      </c>
      <c r="J5" s="7">
        <v>8500</v>
      </c>
      <c r="K5" s="7">
        <v>8500</v>
      </c>
      <c r="L5" s="7">
        <v>8500</v>
      </c>
      <c r="M5" s="7">
        <v>8500</v>
      </c>
      <c r="O5" s="3">
        <f>SUM(B5:M5)</f>
        <v>98000</v>
      </c>
    </row>
    <row r="6" spans="1:15" x14ac:dyDescent="0.25">
      <c r="A6" s="6" t="s">
        <v>37</v>
      </c>
      <c r="B6" s="7">
        <v>25000</v>
      </c>
      <c r="C6" s="7">
        <v>60000</v>
      </c>
      <c r="D6" s="7"/>
      <c r="E6" s="7"/>
      <c r="F6" s="7"/>
      <c r="G6" s="7"/>
      <c r="H6" s="7"/>
      <c r="I6" s="7"/>
      <c r="J6" s="7"/>
      <c r="K6" s="7">
        <v>55000</v>
      </c>
      <c r="L6" s="7"/>
      <c r="M6" s="7"/>
      <c r="O6" s="3">
        <f t="shared" ref="O6:O17" si="0">SUM(B6:M6)</f>
        <v>140000</v>
      </c>
    </row>
    <row r="7" spans="1:15" ht="15.75" customHeight="1" x14ac:dyDescent="0.25">
      <c r="A7" s="6" t="s">
        <v>41</v>
      </c>
      <c r="B7" s="7">
        <v>6000</v>
      </c>
      <c r="C7" s="7">
        <v>6000</v>
      </c>
      <c r="D7" s="7">
        <v>6000</v>
      </c>
      <c r="E7" s="7">
        <v>6000</v>
      </c>
      <c r="F7" s="7">
        <v>6000</v>
      </c>
      <c r="G7" s="7">
        <v>6000</v>
      </c>
      <c r="H7" s="7">
        <v>6000</v>
      </c>
      <c r="I7" s="7">
        <v>6000</v>
      </c>
      <c r="J7" s="7">
        <v>6000</v>
      </c>
      <c r="K7" s="7">
        <v>6000</v>
      </c>
      <c r="L7" s="7">
        <v>6000</v>
      </c>
      <c r="M7" s="7">
        <v>6000</v>
      </c>
      <c r="O7" s="3">
        <f t="shared" ref="O7:O15" si="1">SUM(B7:M7)</f>
        <v>72000</v>
      </c>
    </row>
    <row r="8" spans="1:15" x14ac:dyDescent="0.25">
      <c r="A8" s="6" t="s">
        <v>94</v>
      </c>
      <c r="B8" s="7"/>
      <c r="C8" s="7"/>
      <c r="D8" s="7"/>
      <c r="E8" s="7">
        <v>2500</v>
      </c>
      <c r="F8" s="7">
        <v>2500</v>
      </c>
      <c r="G8" s="7">
        <v>2500</v>
      </c>
      <c r="H8" s="7">
        <v>2500</v>
      </c>
      <c r="I8" s="7">
        <v>2500</v>
      </c>
      <c r="J8" s="7">
        <v>2500</v>
      </c>
      <c r="K8" s="7">
        <v>2500</v>
      </c>
      <c r="L8" s="7">
        <v>2500</v>
      </c>
      <c r="M8" s="7">
        <v>2500</v>
      </c>
      <c r="O8" s="3">
        <f t="shared" si="1"/>
        <v>22500</v>
      </c>
    </row>
    <row r="9" spans="1:15" x14ac:dyDescent="0.25">
      <c r="A9" s="6" t="s">
        <v>43</v>
      </c>
      <c r="B9" s="7"/>
      <c r="C9" s="7"/>
      <c r="D9" s="7"/>
      <c r="E9" s="7"/>
      <c r="F9" s="7">
        <v>6500</v>
      </c>
      <c r="G9" s="7">
        <v>6500</v>
      </c>
      <c r="H9" s="7">
        <v>6500</v>
      </c>
      <c r="I9" s="7">
        <v>6500</v>
      </c>
      <c r="J9" s="7">
        <v>6500</v>
      </c>
      <c r="K9" s="7">
        <v>5800</v>
      </c>
      <c r="L9" s="7">
        <v>5800</v>
      </c>
      <c r="M9" s="7">
        <v>5800</v>
      </c>
      <c r="O9" s="3">
        <f t="shared" si="1"/>
        <v>49900</v>
      </c>
    </row>
    <row r="10" spans="1:15" x14ac:dyDescent="0.25">
      <c r="A10" s="6" t="s">
        <v>45</v>
      </c>
      <c r="B10" s="7"/>
      <c r="C10" s="7"/>
      <c r="D10" s="7"/>
      <c r="E10" s="7">
        <v>6500</v>
      </c>
      <c r="F10" s="7">
        <v>6500</v>
      </c>
      <c r="G10" s="7">
        <v>6500</v>
      </c>
      <c r="H10" s="7">
        <v>7500</v>
      </c>
      <c r="I10" s="7">
        <v>7500</v>
      </c>
      <c r="J10" s="7">
        <v>7500</v>
      </c>
      <c r="K10" s="7">
        <v>8500</v>
      </c>
      <c r="L10" s="7">
        <v>8500</v>
      </c>
      <c r="M10" s="7">
        <v>8500</v>
      </c>
      <c r="O10" s="3">
        <f t="shared" si="1"/>
        <v>67500</v>
      </c>
    </row>
    <row r="11" spans="1:15" x14ac:dyDescent="0.25">
      <c r="A11" s="6" t="s">
        <v>49</v>
      </c>
      <c r="B11" s="7"/>
      <c r="C11" s="7"/>
      <c r="D11" s="7"/>
      <c r="E11" s="7"/>
      <c r="F11" s="7"/>
      <c r="G11" s="7"/>
      <c r="H11" s="7"/>
      <c r="I11" s="7"/>
      <c r="J11" s="7"/>
      <c r="K11" s="7">
        <v>4000</v>
      </c>
      <c r="L11" s="7">
        <v>4000</v>
      </c>
      <c r="M11" s="7">
        <v>4000</v>
      </c>
      <c r="O11" s="3">
        <f t="shared" si="1"/>
        <v>12000</v>
      </c>
    </row>
    <row r="12" spans="1:15" x14ac:dyDescent="0.25">
      <c r="A12" s="6" t="s">
        <v>153</v>
      </c>
      <c r="B12" s="7"/>
      <c r="C12" s="7"/>
      <c r="D12" s="7"/>
      <c r="E12" s="7">
        <v>5600</v>
      </c>
      <c r="F12" s="7">
        <v>5600</v>
      </c>
      <c r="G12" s="7">
        <v>5600</v>
      </c>
      <c r="H12" s="7">
        <v>5600</v>
      </c>
      <c r="I12" s="7">
        <v>5600</v>
      </c>
      <c r="J12" s="7">
        <v>5600</v>
      </c>
      <c r="K12" s="7">
        <v>5600</v>
      </c>
      <c r="L12" s="7">
        <v>5600</v>
      </c>
      <c r="M12" s="7">
        <v>5600</v>
      </c>
      <c r="O12" s="3">
        <f t="shared" si="1"/>
        <v>50400</v>
      </c>
    </row>
    <row r="13" spans="1:15" x14ac:dyDescent="0.25">
      <c r="A13" s="6" t="s">
        <v>50</v>
      </c>
      <c r="B13" s="7"/>
      <c r="C13" s="7"/>
      <c r="D13" s="7"/>
      <c r="E13" s="7"/>
      <c r="F13" s="7"/>
      <c r="G13" s="7"/>
      <c r="H13" s="7"/>
      <c r="I13" s="7"/>
      <c r="J13" s="7"/>
      <c r="K13" s="7">
        <v>2250</v>
      </c>
      <c r="L13" s="7">
        <v>2250</v>
      </c>
      <c r="M13" s="7">
        <v>2250</v>
      </c>
      <c r="O13" s="3">
        <f t="shared" si="1"/>
        <v>6750</v>
      </c>
    </row>
    <row r="14" spans="1:15" x14ac:dyDescent="0.25">
      <c r="A14" s="6" t="s">
        <v>51</v>
      </c>
      <c r="B14" s="7"/>
      <c r="C14" s="7"/>
      <c r="D14" s="7"/>
      <c r="E14" s="7"/>
      <c r="F14" s="7"/>
      <c r="G14" s="7"/>
      <c r="H14" s="7"/>
      <c r="I14" s="7"/>
      <c r="J14" s="7"/>
      <c r="K14" s="7">
        <v>2250</v>
      </c>
      <c r="L14" s="7">
        <v>2250</v>
      </c>
      <c r="M14" s="7">
        <v>2250</v>
      </c>
      <c r="O14" s="3">
        <f t="shared" si="1"/>
        <v>6750</v>
      </c>
    </row>
    <row r="15" spans="1:15" x14ac:dyDescent="0.25">
      <c r="A15" s="31" t="s">
        <v>59</v>
      </c>
      <c r="B15" s="32">
        <v>1500</v>
      </c>
      <c r="C15" s="32">
        <v>1500</v>
      </c>
      <c r="D15" s="32">
        <v>1500</v>
      </c>
      <c r="E15" s="32">
        <v>1500</v>
      </c>
      <c r="F15" s="32">
        <v>2500</v>
      </c>
      <c r="G15" s="32">
        <v>2500</v>
      </c>
      <c r="H15" s="32">
        <v>2500</v>
      </c>
      <c r="I15" s="32">
        <v>2500</v>
      </c>
      <c r="J15" s="32">
        <v>2500</v>
      </c>
      <c r="K15" s="32">
        <v>2500</v>
      </c>
      <c r="L15" s="32">
        <v>2500</v>
      </c>
      <c r="M15" s="32">
        <v>2500</v>
      </c>
      <c r="O15" s="3">
        <f t="shared" si="1"/>
        <v>26000</v>
      </c>
    </row>
    <row r="16" spans="1:15" x14ac:dyDescent="0.25">
      <c r="A16" s="1" t="s">
        <v>38</v>
      </c>
      <c r="B16" s="2">
        <v>1500</v>
      </c>
      <c r="C16" s="2">
        <v>1500</v>
      </c>
      <c r="D16" s="2">
        <v>1500</v>
      </c>
      <c r="E16" s="2">
        <v>2000</v>
      </c>
      <c r="F16" s="2">
        <v>1500</v>
      </c>
      <c r="G16" s="2">
        <v>2000</v>
      </c>
      <c r="H16" s="2">
        <v>1500</v>
      </c>
      <c r="I16" s="2">
        <v>1500</v>
      </c>
      <c r="J16" s="2">
        <v>2000</v>
      </c>
      <c r="K16" s="2">
        <v>3000</v>
      </c>
      <c r="L16" s="2">
        <v>3000</v>
      </c>
      <c r="M16" s="2">
        <v>3000</v>
      </c>
      <c r="O16" s="3">
        <f t="shared" si="0"/>
        <v>24000</v>
      </c>
    </row>
    <row r="17" spans="1:16" x14ac:dyDescent="0.25">
      <c r="A17" s="1" t="s">
        <v>44</v>
      </c>
      <c r="B17" s="2">
        <v>1500</v>
      </c>
      <c r="C17" s="2"/>
      <c r="D17" s="2">
        <v>1500</v>
      </c>
      <c r="E17" s="2"/>
      <c r="F17" s="2">
        <v>2500</v>
      </c>
      <c r="G17" s="2">
        <v>15000</v>
      </c>
      <c r="H17" s="2">
        <v>7500</v>
      </c>
      <c r="I17" s="2">
        <v>15000</v>
      </c>
      <c r="J17" s="2">
        <v>15000</v>
      </c>
      <c r="K17" s="2">
        <v>10000</v>
      </c>
      <c r="L17" s="2">
        <v>10000</v>
      </c>
      <c r="M17" s="2">
        <v>55000</v>
      </c>
      <c r="O17" s="3">
        <f t="shared" si="0"/>
        <v>133000</v>
      </c>
    </row>
    <row r="18" spans="1:16" x14ac:dyDescent="0.25">
      <c r="A18" s="1" t="s">
        <v>58</v>
      </c>
      <c r="B18" s="2">
        <v>1200</v>
      </c>
      <c r="C18" s="2">
        <v>1200</v>
      </c>
      <c r="D18" s="2">
        <v>0</v>
      </c>
      <c r="E18" s="2">
        <v>1200</v>
      </c>
      <c r="F18" s="2">
        <v>1200</v>
      </c>
      <c r="G18" s="2">
        <v>0</v>
      </c>
      <c r="H18" s="2">
        <v>1200</v>
      </c>
      <c r="I18" s="2">
        <v>1200</v>
      </c>
      <c r="J18" s="2">
        <v>0</v>
      </c>
      <c r="K18" s="2">
        <v>1200</v>
      </c>
      <c r="L18" s="2">
        <v>1200</v>
      </c>
      <c r="M18" s="2">
        <v>0</v>
      </c>
      <c r="O18" s="3">
        <f t="shared" ref="O18" si="2">SUM(B18:M18)</f>
        <v>9600</v>
      </c>
    </row>
    <row r="19" spans="1:16" x14ac:dyDescent="0.25">
      <c r="A19" s="1" t="s">
        <v>74</v>
      </c>
      <c r="B19" s="2"/>
      <c r="C19" s="2"/>
      <c r="D19" s="2">
        <v>3000</v>
      </c>
      <c r="E19" s="2"/>
      <c r="F19" s="2">
        <v>3000</v>
      </c>
      <c r="G19" s="2"/>
      <c r="H19" s="2"/>
      <c r="I19" s="2">
        <v>3000</v>
      </c>
      <c r="J19" s="2"/>
      <c r="K19" s="2"/>
      <c r="L19" s="2"/>
      <c r="M19" s="2"/>
      <c r="O19" s="3">
        <f t="shared" ref="O19:O25" si="3">SUM(B19:M19)</f>
        <v>9000</v>
      </c>
    </row>
    <row r="20" spans="1:16" x14ac:dyDescent="0.25">
      <c r="A20" s="1" t="s">
        <v>46</v>
      </c>
      <c r="B20" s="2">
        <v>1500</v>
      </c>
      <c r="C20" s="2">
        <v>1500</v>
      </c>
      <c r="D20" s="2">
        <v>1500</v>
      </c>
      <c r="E20" s="2">
        <v>1500</v>
      </c>
      <c r="F20" s="2">
        <v>1500</v>
      </c>
      <c r="G20" s="2">
        <v>2500</v>
      </c>
      <c r="H20" s="2">
        <v>2500</v>
      </c>
      <c r="I20" s="2">
        <v>5500</v>
      </c>
      <c r="J20" s="2">
        <v>5500</v>
      </c>
      <c r="K20" s="2">
        <v>5500</v>
      </c>
      <c r="L20" s="2">
        <v>5500</v>
      </c>
      <c r="M20" s="2">
        <v>5500</v>
      </c>
      <c r="O20" s="3">
        <f t="shared" si="3"/>
        <v>40000</v>
      </c>
    </row>
    <row r="21" spans="1:16" x14ac:dyDescent="0.25">
      <c r="A21" s="1" t="s">
        <v>40</v>
      </c>
      <c r="B21" s="2">
        <v>150</v>
      </c>
      <c r="C21" s="2">
        <v>150</v>
      </c>
      <c r="D21" s="2">
        <v>150</v>
      </c>
      <c r="E21" s="2">
        <v>150</v>
      </c>
      <c r="F21" s="2"/>
      <c r="G21" s="2">
        <v>1200</v>
      </c>
      <c r="H21" s="2"/>
      <c r="I21" s="2">
        <v>4500</v>
      </c>
      <c r="J21" s="2"/>
      <c r="K21" s="2">
        <v>6500</v>
      </c>
      <c r="L21" s="2">
        <v>4500</v>
      </c>
      <c r="M21" s="2"/>
      <c r="O21" s="3">
        <f t="shared" si="3"/>
        <v>17300</v>
      </c>
    </row>
    <row r="22" spans="1:16" x14ac:dyDescent="0.25">
      <c r="A22" s="1" t="s">
        <v>22</v>
      </c>
      <c r="B22" s="2"/>
      <c r="C22" s="2"/>
      <c r="D22" s="2"/>
      <c r="E22" s="2"/>
      <c r="F22" s="2"/>
      <c r="G22" s="2"/>
      <c r="H22" s="2">
        <f t="shared" ref="H22:M22" si="4">(H4+H5+H6+H7+H8+H9+H10+H11+H12+H13+H14)*0.2</f>
        <v>9320</v>
      </c>
      <c r="I22" s="2">
        <f t="shared" si="4"/>
        <v>9320</v>
      </c>
      <c r="J22" s="2">
        <f t="shared" si="4"/>
        <v>9320</v>
      </c>
      <c r="K22" s="2">
        <f t="shared" si="4"/>
        <v>22080</v>
      </c>
      <c r="L22" s="2">
        <f t="shared" si="4"/>
        <v>11080</v>
      </c>
      <c r="M22" s="2">
        <f t="shared" si="4"/>
        <v>11080</v>
      </c>
      <c r="O22" s="3">
        <f t="shared" si="3"/>
        <v>72200</v>
      </c>
    </row>
    <row r="23" spans="1:16" x14ac:dyDescent="0.25">
      <c r="A23" s="1" t="s">
        <v>52</v>
      </c>
      <c r="B23" s="2">
        <f>B22*0.5</f>
        <v>0</v>
      </c>
      <c r="C23" s="2">
        <f t="shared" ref="C23:M23" si="5">C22*0.5</f>
        <v>0</v>
      </c>
      <c r="D23" s="2">
        <f t="shared" si="5"/>
        <v>0</v>
      </c>
      <c r="E23" s="2">
        <f t="shared" si="5"/>
        <v>0</v>
      </c>
      <c r="F23" s="2">
        <f t="shared" si="5"/>
        <v>0</v>
      </c>
      <c r="G23" s="2">
        <f t="shared" si="5"/>
        <v>0</v>
      </c>
      <c r="H23" s="2">
        <f t="shared" si="5"/>
        <v>4660</v>
      </c>
      <c r="I23" s="2">
        <f t="shared" si="5"/>
        <v>4660</v>
      </c>
      <c r="J23" s="2">
        <f t="shared" si="5"/>
        <v>4660</v>
      </c>
      <c r="K23" s="2">
        <f t="shared" si="5"/>
        <v>11040</v>
      </c>
      <c r="L23" s="2">
        <f t="shared" si="5"/>
        <v>5540</v>
      </c>
      <c r="M23" s="2">
        <f t="shared" si="5"/>
        <v>5540</v>
      </c>
      <c r="O23" s="3">
        <f t="shared" si="3"/>
        <v>36100</v>
      </c>
      <c r="P23" s="3"/>
    </row>
    <row r="24" spans="1:16" x14ac:dyDescent="0.25">
      <c r="A24" s="1" t="s">
        <v>57</v>
      </c>
      <c r="B24" s="2">
        <v>500</v>
      </c>
      <c r="C24" s="2">
        <v>750</v>
      </c>
      <c r="D24" s="2">
        <v>1200</v>
      </c>
      <c r="E24" s="2">
        <v>1500</v>
      </c>
      <c r="F24" s="2"/>
      <c r="G24" s="2"/>
      <c r="H24" s="2"/>
      <c r="I24" s="2">
        <v>2000</v>
      </c>
      <c r="J24" s="2">
        <v>1000</v>
      </c>
      <c r="K24" s="2">
        <v>2000</v>
      </c>
      <c r="L24" s="2">
        <v>1000</v>
      </c>
      <c r="M24" s="2">
        <v>2000</v>
      </c>
      <c r="O24" s="3">
        <f t="shared" si="3"/>
        <v>11950</v>
      </c>
    </row>
    <row r="25" spans="1:16" ht="15.75" thickBot="1" x14ac:dyDescent="0.3">
      <c r="A25" s="1" t="s">
        <v>95</v>
      </c>
      <c r="B25" s="9">
        <v>500</v>
      </c>
      <c r="C25" s="9">
        <v>500</v>
      </c>
      <c r="D25" s="9">
        <v>500</v>
      </c>
      <c r="E25" s="9">
        <v>500</v>
      </c>
      <c r="F25" s="9">
        <v>1500</v>
      </c>
      <c r="G25" s="9">
        <v>1500</v>
      </c>
      <c r="H25" s="9">
        <v>2000</v>
      </c>
      <c r="I25" s="9">
        <v>2000</v>
      </c>
      <c r="J25" s="9">
        <v>5000</v>
      </c>
      <c r="K25" s="9">
        <v>5000</v>
      </c>
      <c r="L25" s="9">
        <v>5000</v>
      </c>
      <c r="M25" s="9">
        <v>5000</v>
      </c>
      <c r="O25" s="3">
        <f t="shared" si="3"/>
        <v>29000</v>
      </c>
    </row>
    <row r="26" spans="1:16" x14ac:dyDescent="0.25">
      <c r="A26" s="21" t="s">
        <v>73</v>
      </c>
      <c r="B26" s="8">
        <f t="shared" ref="B26:M26" si="6">SUM(B4:B25)</f>
        <v>55350</v>
      </c>
      <c r="C26" s="8">
        <f t="shared" si="6"/>
        <v>89100</v>
      </c>
      <c r="D26" s="8">
        <f t="shared" si="6"/>
        <v>32850</v>
      </c>
      <c r="E26" s="8">
        <f t="shared" si="6"/>
        <v>44950</v>
      </c>
      <c r="F26" s="8">
        <f t="shared" si="6"/>
        <v>59300</v>
      </c>
      <c r="G26" s="8">
        <f t="shared" si="6"/>
        <v>70300</v>
      </c>
      <c r="H26" s="8">
        <f t="shared" si="6"/>
        <v>77780</v>
      </c>
      <c r="I26" s="8">
        <f t="shared" si="6"/>
        <v>97780</v>
      </c>
      <c r="J26" s="8">
        <f t="shared" si="6"/>
        <v>91580</v>
      </c>
      <c r="K26" s="8">
        <f t="shared" si="6"/>
        <v>179220</v>
      </c>
      <c r="L26" s="8">
        <f t="shared" si="6"/>
        <v>104720</v>
      </c>
      <c r="M26" s="8">
        <f t="shared" si="6"/>
        <v>145020</v>
      </c>
    </row>
    <row r="28" spans="1:16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57" t="s">
        <v>81</v>
      </c>
      <c r="P28" s="58">
        <f>SUM(B26:M26)</f>
        <v>1047950</v>
      </c>
    </row>
    <row r="29" spans="1:16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58" t="s">
        <v>80</v>
      </c>
      <c r="P29" s="58">
        <f>O33</f>
        <v>1911670</v>
      </c>
    </row>
    <row r="30" spans="1:16" x14ac:dyDescent="0.25">
      <c r="A30" s="47" t="s">
        <v>79</v>
      </c>
      <c r="B30" s="47"/>
      <c r="C30" s="47">
        <v>2000</v>
      </c>
      <c r="D30" s="47">
        <v>4000</v>
      </c>
      <c r="E30" s="47">
        <v>6500</v>
      </c>
      <c r="F30" s="47">
        <v>7500</v>
      </c>
      <c r="G30" s="47">
        <v>9000</v>
      </c>
      <c r="H30" s="47">
        <v>12000</v>
      </c>
      <c r="I30" s="47">
        <v>16000</v>
      </c>
      <c r="J30" s="47">
        <v>19000</v>
      </c>
      <c r="K30" s="47">
        <v>23000</v>
      </c>
      <c r="L30" s="47">
        <v>28000</v>
      </c>
      <c r="M30" s="47">
        <v>32000</v>
      </c>
      <c r="N30" s="47"/>
      <c r="O30" s="47" t="s">
        <v>82</v>
      </c>
      <c r="P30" s="63">
        <f>P29-P28</f>
        <v>863720</v>
      </c>
    </row>
    <row r="31" spans="1:16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8" x14ac:dyDescent="0.25">
      <c r="A33" s="47" t="s">
        <v>112</v>
      </c>
      <c r="B33" s="58">
        <f>B30*7.5</f>
        <v>0</v>
      </c>
      <c r="C33" s="58">
        <f>C30*7.75</f>
        <v>15500</v>
      </c>
      <c r="D33" s="58">
        <f>D30*7.75</f>
        <v>31000</v>
      </c>
      <c r="E33" s="58">
        <f>E30*8.87</f>
        <v>57654.999999999993</v>
      </c>
      <c r="F33" s="58">
        <f>F30*8.87</f>
        <v>66525</v>
      </c>
      <c r="G33" s="58">
        <f>G30*8.87</f>
        <v>79830</v>
      </c>
      <c r="H33" s="58">
        <f>H30*8.87</f>
        <v>106439.99999999999</v>
      </c>
      <c r="I33" s="58">
        <f t="shared" ref="I33" si="7">I30*12</f>
        <v>192000</v>
      </c>
      <c r="J33" s="58">
        <f>J30*13.36</f>
        <v>253840</v>
      </c>
      <c r="K33" s="58">
        <f t="shared" ref="K33:M33" si="8">K30*13.36</f>
        <v>307280</v>
      </c>
      <c r="L33" s="58">
        <f t="shared" si="8"/>
        <v>374080</v>
      </c>
      <c r="M33" s="58">
        <f t="shared" si="8"/>
        <v>427520</v>
      </c>
      <c r="N33" s="47"/>
      <c r="O33" s="58">
        <f>SUM(B33:M33)</f>
        <v>1911670</v>
      </c>
      <c r="P33" s="47"/>
    </row>
    <row r="34" spans="1:18" x14ac:dyDescent="0.25">
      <c r="A34" s="47" t="s">
        <v>97</v>
      </c>
      <c r="B34" s="63">
        <f t="shared" ref="B34:M34" si="9">B33-B26</f>
        <v>-55350</v>
      </c>
      <c r="C34" s="63">
        <f t="shared" si="9"/>
        <v>-73600</v>
      </c>
      <c r="D34" s="63">
        <f t="shared" si="9"/>
        <v>-1850</v>
      </c>
      <c r="E34" s="63">
        <f t="shared" si="9"/>
        <v>12704.999999999993</v>
      </c>
      <c r="F34" s="63">
        <f t="shared" si="9"/>
        <v>7225</v>
      </c>
      <c r="G34" s="58">
        <f t="shared" si="9"/>
        <v>9530</v>
      </c>
      <c r="H34" s="58">
        <f t="shared" si="9"/>
        <v>28659.999999999985</v>
      </c>
      <c r="I34" s="58">
        <f t="shared" si="9"/>
        <v>94220</v>
      </c>
      <c r="J34" s="58">
        <f t="shared" si="9"/>
        <v>162260</v>
      </c>
      <c r="K34" s="58">
        <f t="shared" si="9"/>
        <v>128060</v>
      </c>
      <c r="L34" s="58">
        <f t="shared" si="9"/>
        <v>269360</v>
      </c>
      <c r="M34" s="58">
        <f t="shared" si="9"/>
        <v>282500</v>
      </c>
      <c r="N34" s="58"/>
      <c r="O34" s="58">
        <f>SUM(B34:M34)</f>
        <v>863720</v>
      </c>
      <c r="P34" s="47"/>
    </row>
    <row r="35" spans="1:18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8" x14ac:dyDescent="0.25">
      <c r="A36" s="47" t="s">
        <v>76</v>
      </c>
      <c r="B36" s="58"/>
      <c r="C36" s="58"/>
      <c r="D36" s="58"/>
      <c r="E36" s="58">
        <f t="shared" ref="E36" si="10">E34*0.22</f>
        <v>2795.0999999999985</v>
      </c>
      <c r="F36" s="58"/>
      <c r="G36" s="58">
        <f>G34*0.22</f>
        <v>2096.6</v>
      </c>
      <c r="H36" s="58">
        <f t="shared" ref="H36:M36" si="11">H34*0.22</f>
        <v>6305.1999999999971</v>
      </c>
      <c r="I36" s="58">
        <f t="shared" si="11"/>
        <v>20728.400000000001</v>
      </c>
      <c r="J36" s="58">
        <f t="shared" si="11"/>
        <v>35697.199999999997</v>
      </c>
      <c r="K36" s="58">
        <f t="shared" si="11"/>
        <v>28173.200000000001</v>
      </c>
      <c r="L36" s="58">
        <f t="shared" si="11"/>
        <v>59259.199999999997</v>
      </c>
      <c r="M36" s="58">
        <f t="shared" si="11"/>
        <v>62150</v>
      </c>
      <c r="N36" s="58"/>
      <c r="O36" s="58">
        <f>SUM(C36:M36)</f>
        <v>217204.9</v>
      </c>
      <c r="P36" s="47"/>
    </row>
    <row r="37" spans="1:18" x14ac:dyDescent="0.25">
      <c r="A37" s="47" t="s">
        <v>77</v>
      </c>
      <c r="B37" s="58">
        <f t="shared" ref="B37:F37" si="12">B34-B36</f>
        <v>-55350</v>
      </c>
      <c r="C37" s="58">
        <f t="shared" si="12"/>
        <v>-73600</v>
      </c>
      <c r="D37" s="58">
        <f t="shared" si="12"/>
        <v>-1850</v>
      </c>
      <c r="E37" s="58">
        <f t="shared" si="12"/>
        <v>9909.8999999999942</v>
      </c>
      <c r="F37" s="58">
        <f t="shared" si="12"/>
        <v>7225</v>
      </c>
      <c r="G37" s="58">
        <f>G34-G36</f>
        <v>7433.4</v>
      </c>
      <c r="H37" s="58">
        <f t="shared" ref="H37:M37" si="13">H34-H36</f>
        <v>22354.799999999988</v>
      </c>
      <c r="I37" s="58">
        <f t="shared" si="13"/>
        <v>73491.600000000006</v>
      </c>
      <c r="J37" s="58">
        <f t="shared" si="13"/>
        <v>126562.8</v>
      </c>
      <c r="K37" s="58">
        <f t="shared" si="13"/>
        <v>99886.8</v>
      </c>
      <c r="L37" s="58">
        <f t="shared" si="13"/>
        <v>210100.8</v>
      </c>
      <c r="M37" s="58">
        <f t="shared" si="13"/>
        <v>220350</v>
      </c>
      <c r="N37" s="58"/>
      <c r="O37" s="58">
        <f>O34-O36</f>
        <v>646515.1</v>
      </c>
      <c r="P37" s="47"/>
      <c r="R37" s="11"/>
    </row>
    <row r="38" spans="1:18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8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8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 t="s">
        <v>98</v>
      </c>
      <c r="P40" s="63">
        <f>P30-'year 1 UOP'!O22</f>
        <v>460370</v>
      </c>
    </row>
  </sheetData>
  <mergeCells count="1">
    <mergeCell ref="A2:M2"/>
  </mergeCells>
  <pageMargins left="0.7" right="0.7" top="0.75" bottom="0.75" header="0.3" footer="0.3"/>
  <pageSetup orientation="portrait" horizont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showGridLines="0" topLeftCell="L18" workbookViewId="0">
      <selection activeCell="A13" sqref="A13"/>
    </sheetView>
  </sheetViews>
  <sheetFormatPr defaultRowHeight="15" x14ac:dyDescent="0.25"/>
  <cols>
    <col min="1" max="1" width="24.5703125" customWidth="1"/>
    <col min="2" max="2" width="12.7109375" customWidth="1"/>
    <col min="3" max="14" width="11.28515625" customWidth="1"/>
    <col min="15" max="15" width="14" customWidth="1"/>
    <col min="16" max="16" width="24.5703125" style="23" customWidth="1"/>
  </cols>
  <sheetData>
    <row r="1" spans="1:15" x14ac:dyDescent="0.25">
      <c r="N1" s="43"/>
    </row>
    <row r="2" spans="1:15" ht="31.5" x14ac:dyDescent="0.25">
      <c r="A2" s="85" t="s">
        <v>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34"/>
    </row>
    <row r="3" spans="1:15" x14ac:dyDescent="0.25">
      <c r="A3" s="4" t="s">
        <v>1</v>
      </c>
      <c r="B3" s="5" t="s">
        <v>60</v>
      </c>
      <c r="C3" s="5" t="s">
        <v>61</v>
      </c>
      <c r="D3" s="5" t="s">
        <v>62</v>
      </c>
      <c r="E3" s="5" t="s">
        <v>63</v>
      </c>
      <c r="F3" s="5" t="s">
        <v>64</v>
      </c>
      <c r="G3" s="5" t="s">
        <v>65</v>
      </c>
      <c r="H3" s="5" t="s">
        <v>66</v>
      </c>
      <c r="I3" s="5" t="s">
        <v>67</v>
      </c>
      <c r="J3" s="5" t="s">
        <v>68</v>
      </c>
      <c r="K3" s="5" t="s">
        <v>69</v>
      </c>
      <c r="L3" s="5" t="s">
        <v>70</v>
      </c>
      <c r="M3" s="5" t="s">
        <v>71</v>
      </c>
      <c r="N3" s="44"/>
    </row>
    <row r="4" spans="1:15" x14ac:dyDescent="0.25">
      <c r="A4" s="6" t="s">
        <v>42</v>
      </c>
      <c r="B4" s="24">
        <v>10000</v>
      </c>
      <c r="C4" s="24">
        <v>10000</v>
      </c>
      <c r="D4" s="24">
        <v>10000</v>
      </c>
      <c r="E4" s="24">
        <v>10000</v>
      </c>
      <c r="F4" s="24">
        <v>10000</v>
      </c>
      <c r="G4" s="24">
        <v>10000</v>
      </c>
      <c r="H4" s="24">
        <v>10000</v>
      </c>
      <c r="I4" s="24">
        <v>10000</v>
      </c>
      <c r="J4" s="24">
        <v>10000</v>
      </c>
      <c r="K4" s="24">
        <v>10000</v>
      </c>
      <c r="L4" s="24">
        <v>10000</v>
      </c>
      <c r="M4" s="24">
        <v>10000</v>
      </c>
      <c r="N4" s="45"/>
      <c r="O4" s="22">
        <f>SUM(B4:M4)</f>
        <v>120000</v>
      </c>
    </row>
    <row r="5" spans="1:15" x14ac:dyDescent="0.25">
      <c r="A5" s="6" t="s">
        <v>75</v>
      </c>
      <c r="B5" s="24">
        <v>8500</v>
      </c>
      <c r="C5" s="24">
        <v>8500</v>
      </c>
      <c r="D5" s="24">
        <v>8500</v>
      </c>
      <c r="E5" s="24">
        <v>8500</v>
      </c>
      <c r="F5" s="24">
        <v>8500</v>
      </c>
      <c r="G5" s="24">
        <v>8500</v>
      </c>
      <c r="H5" s="24">
        <v>8500</v>
      </c>
      <c r="I5" s="24">
        <v>8500</v>
      </c>
      <c r="J5" s="24">
        <v>8500</v>
      </c>
      <c r="K5" s="24">
        <v>8500</v>
      </c>
      <c r="L5" s="24">
        <v>8500</v>
      </c>
      <c r="M5" s="24">
        <v>8500</v>
      </c>
      <c r="N5" s="45"/>
      <c r="O5" s="22">
        <f>SUM(B5:M5)</f>
        <v>102000</v>
      </c>
    </row>
    <row r="6" spans="1:15" x14ac:dyDescent="0.25">
      <c r="A6" s="6" t="s">
        <v>37</v>
      </c>
      <c r="B6" s="24"/>
      <c r="C6" s="24">
        <v>44000</v>
      </c>
      <c r="D6" s="24"/>
      <c r="E6" s="24"/>
      <c r="F6" s="24">
        <v>25000</v>
      </c>
      <c r="G6" s="24"/>
      <c r="H6" s="24"/>
      <c r="I6" s="24"/>
      <c r="J6" s="24">
        <v>65000</v>
      </c>
      <c r="K6" s="24"/>
      <c r="L6" s="24">
        <v>25000</v>
      </c>
      <c r="M6" s="24"/>
      <c r="N6" s="45"/>
      <c r="O6" s="22">
        <f t="shared" ref="O6:O18" si="0">SUM(B6:M6)</f>
        <v>159000</v>
      </c>
    </row>
    <row r="7" spans="1:15" x14ac:dyDescent="0.25">
      <c r="A7" s="6" t="s">
        <v>41</v>
      </c>
      <c r="B7" s="24">
        <v>6000</v>
      </c>
      <c r="C7" s="24">
        <v>6000</v>
      </c>
      <c r="D7" s="24">
        <v>6000</v>
      </c>
      <c r="E7" s="24">
        <v>6000</v>
      </c>
      <c r="F7" s="24">
        <v>6000</v>
      </c>
      <c r="G7" s="24">
        <v>6000</v>
      </c>
      <c r="H7" s="24">
        <v>6000</v>
      </c>
      <c r="I7" s="24">
        <v>6000</v>
      </c>
      <c r="J7" s="24">
        <v>6000</v>
      </c>
      <c r="K7" s="24">
        <v>6000</v>
      </c>
      <c r="L7" s="24">
        <v>6000</v>
      </c>
      <c r="M7" s="24">
        <v>6000</v>
      </c>
      <c r="N7" s="45"/>
      <c r="O7" s="22">
        <f t="shared" ref="O7:O16" si="1">SUM(B7:M7)</f>
        <v>72000</v>
      </c>
    </row>
    <row r="8" spans="1:15" x14ac:dyDescent="0.25">
      <c r="A8" s="6" t="s">
        <v>94</v>
      </c>
      <c r="B8" s="24">
        <v>3000</v>
      </c>
      <c r="C8" s="24">
        <v>3000</v>
      </c>
      <c r="D8" s="24">
        <v>3000</v>
      </c>
      <c r="E8" s="24">
        <v>3000</v>
      </c>
      <c r="F8" s="24">
        <v>3000</v>
      </c>
      <c r="G8" s="24">
        <v>3000</v>
      </c>
      <c r="H8" s="24">
        <v>3000</v>
      </c>
      <c r="I8" s="24">
        <v>3000</v>
      </c>
      <c r="J8" s="24">
        <v>3000</v>
      </c>
      <c r="K8" s="24">
        <v>3000</v>
      </c>
      <c r="L8" s="24">
        <v>3000</v>
      </c>
      <c r="M8" s="24">
        <v>3000</v>
      </c>
      <c r="N8" s="45"/>
      <c r="O8" s="22">
        <f t="shared" si="1"/>
        <v>36000</v>
      </c>
    </row>
    <row r="9" spans="1:15" x14ac:dyDescent="0.25">
      <c r="A9" s="6" t="s">
        <v>43</v>
      </c>
      <c r="B9" s="24">
        <v>5800</v>
      </c>
      <c r="C9" s="24">
        <v>5800</v>
      </c>
      <c r="D9" s="24">
        <v>5800</v>
      </c>
      <c r="E9" s="24">
        <v>5800</v>
      </c>
      <c r="F9" s="24">
        <v>5800</v>
      </c>
      <c r="G9" s="24">
        <v>5800</v>
      </c>
      <c r="H9" s="24">
        <v>5800</v>
      </c>
      <c r="I9" s="24">
        <v>5800</v>
      </c>
      <c r="J9" s="24">
        <v>5800</v>
      </c>
      <c r="K9" s="24">
        <v>5800</v>
      </c>
      <c r="L9" s="24">
        <v>5800</v>
      </c>
      <c r="M9" s="24">
        <v>5800</v>
      </c>
      <c r="N9" s="45"/>
      <c r="O9" s="22">
        <f t="shared" si="1"/>
        <v>69600</v>
      </c>
    </row>
    <row r="10" spans="1:15" x14ac:dyDescent="0.25">
      <c r="A10" s="6" t="s">
        <v>45</v>
      </c>
      <c r="B10" s="24">
        <v>6500</v>
      </c>
      <c r="C10" s="24">
        <v>6500</v>
      </c>
      <c r="D10" s="24">
        <v>6500</v>
      </c>
      <c r="E10" s="24">
        <v>6500</v>
      </c>
      <c r="F10" s="24">
        <v>6500</v>
      </c>
      <c r="G10" s="24">
        <v>6500</v>
      </c>
      <c r="H10" s="24">
        <v>7500</v>
      </c>
      <c r="I10" s="24">
        <v>7500</v>
      </c>
      <c r="J10" s="24">
        <v>7500</v>
      </c>
      <c r="K10" s="24">
        <v>8500</v>
      </c>
      <c r="L10" s="24">
        <v>8500</v>
      </c>
      <c r="M10" s="24">
        <v>8500</v>
      </c>
      <c r="N10" s="45"/>
      <c r="O10" s="22">
        <f t="shared" si="1"/>
        <v>87000</v>
      </c>
    </row>
    <row r="11" spans="1:15" x14ac:dyDescent="0.25">
      <c r="A11" s="6" t="s">
        <v>49</v>
      </c>
      <c r="B11" s="24">
        <v>4000</v>
      </c>
      <c r="C11" s="24">
        <v>4000</v>
      </c>
      <c r="D11" s="24">
        <v>4000</v>
      </c>
      <c r="E11" s="24">
        <v>4000</v>
      </c>
      <c r="F11" s="24">
        <v>4000</v>
      </c>
      <c r="G11" s="24">
        <v>4000</v>
      </c>
      <c r="H11" s="24">
        <v>4000</v>
      </c>
      <c r="I11" s="24">
        <v>4000</v>
      </c>
      <c r="J11" s="24">
        <v>4000</v>
      </c>
      <c r="K11" s="24">
        <v>4000</v>
      </c>
      <c r="L11" s="24">
        <v>4000</v>
      </c>
      <c r="M11" s="24">
        <v>4000</v>
      </c>
      <c r="N11" s="45"/>
      <c r="O11" s="22">
        <f t="shared" si="1"/>
        <v>48000</v>
      </c>
    </row>
    <row r="12" spans="1:15" x14ac:dyDescent="0.25">
      <c r="A12" s="6" t="s">
        <v>152</v>
      </c>
      <c r="B12" s="24">
        <v>6000</v>
      </c>
      <c r="C12" s="24">
        <v>6000</v>
      </c>
      <c r="D12" s="24">
        <v>6000</v>
      </c>
      <c r="E12" s="24">
        <v>6000</v>
      </c>
      <c r="F12" s="24">
        <v>6000</v>
      </c>
      <c r="G12" s="24">
        <v>6000</v>
      </c>
      <c r="H12" s="24">
        <v>6000</v>
      </c>
      <c r="I12" s="24">
        <v>6000</v>
      </c>
      <c r="J12" s="24">
        <v>6000</v>
      </c>
      <c r="K12" s="24">
        <v>6000</v>
      </c>
      <c r="L12" s="24">
        <v>6000</v>
      </c>
      <c r="M12" s="24">
        <v>6000</v>
      </c>
      <c r="N12" s="45"/>
      <c r="O12" s="22"/>
    </row>
    <row r="13" spans="1:15" x14ac:dyDescent="0.25">
      <c r="A13" s="6" t="s">
        <v>153</v>
      </c>
      <c r="B13" s="24">
        <v>5600</v>
      </c>
      <c r="C13" s="24">
        <v>5600</v>
      </c>
      <c r="D13" s="24">
        <v>5600</v>
      </c>
      <c r="E13" s="24">
        <v>5600</v>
      </c>
      <c r="F13" s="24">
        <v>5600</v>
      </c>
      <c r="G13" s="24">
        <v>5600</v>
      </c>
      <c r="H13" s="24">
        <v>5600</v>
      </c>
      <c r="I13" s="24">
        <v>5600</v>
      </c>
      <c r="J13" s="24">
        <v>5600</v>
      </c>
      <c r="K13" s="24">
        <v>5600</v>
      </c>
      <c r="L13" s="24">
        <v>5600</v>
      </c>
      <c r="M13" s="24">
        <v>5600</v>
      </c>
      <c r="N13" s="45"/>
      <c r="O13" s="22">
        <f t="shared" si="1"/>
        <v>67200</v>
      </c>
    </row>
    <row r="14" spans="1:15" x14ac:dyDescent="0.25">
      <c r="A14" s="6" t="s">
        <v>50</v>
      </c>
      <c r="B14" s="24">
        <v>2250</v>
      </c>
      <c r="C14" s="24">
        <v>2250</v>
      </c>
      <c r="D14" s="24">
        <v>2250</v>
      </c>
      <c r="E14" s="24">
        <v>2250</v>
      </c>
      <c r="F14" s="24">
        <v>2250</v>
      </c>
      <c r="G14" s="24">
        <v>2250</v>
      </c>
      <c r="H14" s="24">
        <v>2250</v>
      </c>
      <c r="I14" s="24">
        <v>2250</v>
      </c>
      <c r="J14" s="24">
        <v>2250</v>
      </c>
      <c r="K14" s="24">
        <v>2250</v>
      </c>
      <c r="L14" s="24">
        <v>2250</v>
      </c>
      <c r="M14" s="24">
        <v>2250</v>
      </c>
      <c r="N14" s="45"/>
      <c r="O14" s="22">
        <f t="shared" si="1"/>
        <v>27000</v>
      </c>
    </row>
    <row r="15" spans="1:15" x14ac:dyDescent="0.25">
      <c r="A15" s="6" t="s">
        <v>51</v>
      </c>
      <c r="B15" s="24">
        <v>2900</v>
      </c>
      <c r="C15" s="24">
        <v>2900</v>
      </c>
      <c r="D15" s="24">
        <v>2900</v>
      </c>
      <c r="E15" s="24">
        <v>2900</v>
      </c>
      <c r="F15" s="24">
        <v>2900</v>
      </c>
      <c r="G15" s="24">
        <v>2900</v>
      </c>
      <c r="H15" s="24">
        <v>2900</v>
      </c>
      <c r="I15" s="24">
        <v>2900</v>
      </c>
      <c r="J15" s="24">
        <v>2900</v>
      </c>
      <c r="K15" s="24">
        <v>2900</v>
      </c>
      <c r="L15" s="24">
        <v>2900</v>
      </c>
      <c r="M15" s="24">
        <v>2900</v>
      </c>
      <c r="N15" s="45"/>
      <c r="O15" s="22">
        <f t="shared" si="1"/>
        <v>34800</v>
      </c>
    </row>
    <row r="16" spans="1:15" x14ac:dyDescent="0.25">
      <c r="A16" s="31" t="s">
        <v>59</v>
      </c>
      <c r="B16" s="33">
        <v>1500</v>
      </c>
      <c r="C16" s="33">
        <v>1500</v>
      </c>
      <c r="D16" s="33">
        <v>1500</v>
      </c>
      <c r="E16" s="33">
        <v>1500</v>
      </c>
      <c r="F16" s="33">
        <v>2500</v>
      </c>
      <c r="G16" s="33">
        <v>2500</v>
      </c>
      <c r="H16" s="33">
        <v>2500</v>
      </c>
      <c r="I16" s="33">
        <v>2500</v>
      </c>
      <c r="J16" s="33">
        <v>2500</v>
      </c>
      <c r="K16" s="33">
        <v>2500</v>
      </c>
      <c r="L16" s="33">
        <v>2500</v>
      </c>
      <c r="M16" s="33">
        <v>2500</v>
      </c>
      <c r="N16" s="45"/>
      <c r="O16" s="22">
        <f t="shared" si="1"/>
        <v>26000</v>
      </c>
    </row>
    <row r="17" spans="1:17" x14ac:dyDescent="0.25">
      <c r="A17" s="1" t="s">
        <v>38</v>
      </c>
      <c r="B17" s="12">
        <v>6500</v>
      </c>
      <c r="C17" s="12">
        <v>6500</v>
      </c>
      <c r="D17" s="12">
        <v>6500</v>
      </c>
      <c r="E17" s="12">
        <v>6500</v>
      </c>
      <c r="F17" s="12">
        <v>6500</v>
      </c>
      <c r="G17" s="12">
        <v>6500</v>
      </c>
      <c r="H17" s="12">
        <v>6500</v>
      </c>
      <c r="I17" s="12">
        <v>6500</v>
      </c>
      <c r="J17" s="12">
        <v>6500</v>
      </c>
      <c r="K17" s="12">
        <v>6500</v>
      </c>
      <c r="L17" s="12">
        <v>6500</v>
      </c>
      <c r="M17" s="12">
        <v>6500</v>
      </c>
      <c r="N17" s="45"/>
      <c r="O17" s="22">
        <f t="shared" si="0"/>
        <v>78000</v>
      </c>
    </row>
    <row r="18" spans="1:17" x14ac:dyDescent="0.25">
      <c r="A18" s="1" t="s">
        <v>44</v>
      </c>
      <c r="B18" s="12">
        <v>20000</v>
      </c>
      <c r="C18" s="12">
        <v>20000</v>
      </c>
      <c r="D18" s="12">
        <v>20000</v>
      </c>
      <c r="E18" s="12">
        <v>20000</v>
      </c>
      <c r="F18" s="12">
        <v>85000</v>
      </c>
      <c r="G18" s="12">
        <v>20000</v>
      </c>
      <c r="H18" s="12">
        <v>15000</v>
      </c>
      <c r="I18" s="12">
        <v>15000</v>
      </c>
      <c r="J18" s="12">
        <v>55000</v>
      </c>
      <c r="K18" s="12">
        <v>10000</v>
      </c>
      <c r="L18" s="12">
        <v>10000</v>
      </c>
      <c r="M18" s="12">
        <v>10000</v>
      </c>
      <c r="N18" s="45"/>
      <c r="O18" s="22">
        <f t="shared" si="0"/>
        <v>300000</v>
      </c>
    </row>
    <row r="19" spans="1:17" x14ac:dyDescent="0.25">
      <c r="A19" s="1" t="s">
        <v>58</v>
      </c>
      <c r="B19" s="12">
        <v>1200</v>
      </c>
      <c r="C19" s="12">
        <v>1200</v>
      </c>
      <c r="D19" s="12">
        <v>0</v>
      </c>
      <c r="E19" s="12">
        <v>1200</v>
      </c>
      <c r="F19" s="12">
        <v>1200</v>
      </c>
      <c r="G19" s="12">
        <v>0</v>
      </c>
      <c r="H19" s="12">
        <v>1200</v>
      </c>
      <c r="I19" s="12">
        <v>1200</v>
      </c>
      <c r="J19" s="12">
        <v>0</v>
      </c>
      <c r="K19" s="12">
        <v>1200</v>
      </c>
      <c r="L19" s="12">
        <v>1200</v>
      </c>
      <c r="M19" s="12">
        <v>0</v>
      </c>
      <c r="N19" s="45"/>
      <c r="O19" s="22">
        <f t="shared" ref="O19" si="2">SUM(B19:M19)</f>
        <v>9600</v>
      </c>
    </row>
    <row r="20" spans="1:17" x14ac:dyDescent="0.25">
      <c r="A20" s="1" t="s">
        <v>46</v>
      </c>
      <c r="B20" s="12">
        <v>6000</v>
      </c>
      <c r="C20" s="12">
        <v>6000</v>
      </c>
      <c r="D20" s="12">
        <v>6000</v>
      </c>
      <c r="E20" s="12">
        <v>6000</v>
      </c>
      <c r="F20" s="12">
        <v>6000</v>
      </c>
      <c r="G20" s="12">
        <v>6000</v>
      </c>
      <c r="H20" s="12">
        <v>6000</v>
      </c>
      <c r="I20" s="12">
        <v>6000</v>
      </c>
      <c r="J20" s="12">
        <v>6000</v>
      </c>
      <c r="K20" s="12">
        <v>6000</v>
      </c>
      <c r="L20" s="12">
        <v>6000</v>
      </c>
      <c r="M20" s="12">
        <v>6000</v>
      </c>
      <c r="N20" s="45"/>
      <c r="O20" s="22">
        <f t="shared" ref="O20:O25" si="3">SUM(B20:M20)</f>
        <v>72000</v>
      </c>
    </row>
    <row r="21" spans="1:17" x14ac:dyDescent="0.25">
      <c r="A21" s="1" t="s">
        <v>74</v>
      </c>
      <c r="B21" s="12">
        <v>2500</v>
      </c>
      <c r="C21" s="12">
        <v>3000</v>
      </c>
      <c r="D21" s="12">
        <v>2000</v>
      </c>
      <c r="E21" s="12">
        <v>2500</v>
      </c>
      <c r="F21" s="12">
        <v>3000</v>
      </c>
      <c r="G21" s="12">
        <v>2500</v>
      </c>
      <c r="H21" s="12">
        <v>3000</v>
      </c>
      <c r="I21" s="12"/>
      <c r="J21" s="12">
        <v>3000</v>
      </c>
      <c r="K21" s="12"/>
      <c r="L21" s="12"/>
      <c r="M21" s="12">
        <v>2000</v>
      </c>
      <c r="N21" s="45"/>
      <c r="O21" s="22">
        <f>SUM(B21:M21)</f>
        <v>23500</v>
      </c>
    </row>
    <row r="22" spans="1:17" x14ac:dyDescent="0.25">
      <c r="A22" s="1" t="s">
        <v>40</v>
      </c>
      <c r="B22" s="12">
        <v>5500</v>
      </c>
      <c r="C22" s="12">
        <v>4500</v>
      </c>
      <c r="D22" s="12"/>
      <c r="E22" s="12">
        <v>2500</v>
      </c>
      <c r="F22" s="12"/>
      <c r="G22" s="12">
        <v>1200</v>
      </c>
      <c r="H22" s="12"/>
      <c r="I22" s="12">
        <v>4500</v>
      </c>
      <c r="J22" s="12"/>
      <c r="K22" s="12">
        <v>6500</v>
      </c>
      <c r="L22" s="12">
        <v>4500</v>
      </c>
      <c r="M22" s="12"/>
      <c r="N22" s="45"/>
      <c r="O22" s="22">
        <f t="shared" si="3"/>
        <v>29200</v>
      </c>
    </row>
    <row r="23" spans="1:17" x14ac:dyDescent="0.25">
      <c r="A23" s="1" t="s">
        <v>22</v>
      </c>
      <c r="B23" s="12">
        <f>(B4+B5+B6+B7+B8+B9+B10+B11+B13+B12+B16+B14+B15)*0.2</f>
        <v>12410</v>
      </c>
      <c r="C23" s="12">
        <f>(C4+C5+C7+C8+C9+C10+C11+C13+C12+C16+C14+C15)*0.2</f>
        <v>12410</v>
      </c>
      <c r="D23" s="12">
        <f t="shared" ref="D23:M23" si="4">(D4+D5+D6+D7+D8+D9+D10+D11+D13+D12+D16+D14+D15)*0.2</f>
        <v>12410</v>
      </c>
      <c r="E23" s="12">
        <f t="shared" si="4"/>
        <v>12410</v>
      </c>
      <c r="F23" s="12">
        <f t="shared" si="4"/>
        <v>17610</v>
      </c>
      <c r="G23" s="12">
        <f t="shared" si="4"/>
        <v>12610</v>
      </c>
      <c r="H23" s="12">
        <f t="shared" si="4"/>
        <v>12810</v>
      </c>
      <c r="I23" s="12">
        <f t="shared" si="4"/>
        <v>12810</v>
      </c>
      <c r="J23" s="12">
        <f t="shared" si="4"/>
        <v>25810</v>
      </c>
      <c r="K23" s="12">
        <f t="shared" si="4"/>
        <v>13010</v>
      </c>
      <c r="L23" s="12">
        <f t="shared" si="4"/>
        <v>18010</v>
      </c>
      <c r="M23" s="12">
        <f t="shared" si="4"/>
        <v>13010</v>
      </c>
      <c r="N23" s="45"/>
      <c r="O23" s="22">
        <f t="shared" si="3"/>
        <v>175320</v>
      </c>
    </row>
    <row r="24" spans="1:17" x14ac:dyDescent="0.25">
      <c r="A24" s="1" t="s">
        <v>52</v>
      </c>
      <c r="B24" s="12">
        <f>B23*0.5</f>
        <v>6205</v>
      </c>
      <c r="C24" s="12">
        <f t="shared" ref="C24:M24" si="5">C23*0.5</f>
        <v>6205</v>
      </c>
      <c r="D24" s="12">
        <f t="shared" si="5"/>
        <v>6205</v>
      </c>
      <c r="E24" s="12">
        <f t="shared" si="5"/>
        <v>6205</v>
      </c>
      <c r="F24" s="12">
        <f t="shared" si="5"/>
        <v>8805</v>
      </c>
      <c r="G24" s="12">
        <f t="shared" si="5"/>
        <v>6305</v>
      </c>
      <c r="H24" s="12">
        <f t="shared" si="5"/>
        <v>6405</v>
      </c>
      <c r="I24" s="12">
        <f t="shared" si="5"/>
        <v>6405</v>
      </c>
      <c r="J24" s="12">
        <f t="shared" si="5"/>
        <v>12905</v>
      </c>
      <c r="K24" s="12">
        <f t="shared" si="5"/>
        <v>6505</v>
      </c>
      <c r="L24" s="12">
        <f t="shared" si="5"/>
        <v>9005</v>
      </c>
      <c r="M24" s="12">
        <f t="shared" si="5"/>
        <v>6505</v>
      </c>
      <c r="N24" s="45"/>
      <c r="O24" s="22">
        <f t="shared" si="3"/>
        <v>87660</v>
      </c>
    </row>
    <row r="25" spans="1:17" x14ac:dyDescent="0.25">
      <c r="A25" s="1" t="s">
        <v>57</v>
      </c>
      <c r="B25" s="12">
        <v>5000</v>
      </c>
      <c r="C25" s="12">
        <v>4500</v>
      </c>
      <c r="D25" s="12">
        <v>15000</v>
      </c>
      <c r="E25" s="12">
        <v>25000</v>
      </c>
      <c r="F25" s="12">
        <v>25000</v>
      </c>
      <c r="G25" s="12">
        <v>25000</v>
      </c>
      <c r="H25" s="12">
        <v>25000</v>
      </c>
      <c r="I25" s="12">
        <v>25000</v>
      </c>
      <c r="J25" s="12">
        <v>25000</v>
      </c>
      <c r="K25" s="12">
        <v>25000</v>
      </c>
      <c r="L25" s="12">
        <v>25000</v>
      </c>
      <c r="M25" s="12">
        <v>25000</v>
      </c>
      <c r="N25" s="45"/>
      <c r="O25" s="22">
        <f t="shared" si="3"/>
        <v>249500</v>
      </c>
    </row>
    <row r="26" spans="1:17" ht="15.75" thickBot="1" x14ac:dyDescent="0.3">
      <c r="A26" s="1" t="s">
        <v>48</v>
      </c>
      <c r="B26" s="25">
        <v>2000</v>
      </c>
      <c r="C26" s="25">
        <v>2000</v>
      </c>
      <c r="D26" s="25">
        <v>2000</v>
      </c>
      <c r="E26" s="25">
        <v>2000</v>
      </c>
      <c r="F26" s="25">
        <v>2000</v>
      </c>
      <c r="G26" s="25">
        <v>2000</v>
      </c>
      <c r="H26" s="25">
        <v>2000</v>
      </c>
      <c r="I26" s="25">
        <v>2000</v>
      </c>
      <c r="J26" s="25">
        <v>2000</v>
      </c>
      <c r="K26" s="25">
        <v>2000</v>
      </c>
      <c r="L26" s="25">
        <v>2000</v>
      </c>
      <c r="M26" s="25">
        <v>2000</v>
      </c>
      <c r="N26" s="45"/>
      <c r="O26" s="22">
        <f>SUM(B26:M26)</f>
        <v>24000</v>
      </c>
    </row>
    <row r="27" spans="1:17" x14ac:dyDescent="0.25">
      <c r="A27" s="21" t="s">
        <v>73</v>
      </c>
      <c r="B27" s="26">
        <f t="shared" ref="B27:M27" si="6">SUM(B4:B26)</f>
        <v>129365</v>
      </c>
      <c r="C27" s="26">
        <f t="shared" si="6"/>
        <v>172365</v>
      </c>
      <c r="D27" s="26">
        <f t="shared" si="6"/>
        <v>132165</v>
      </c>
      <c r="E27" s="26">
        <f t="shared" si="6"/>
        <v>146365</v>
      </c>
      <c r="F27" s="26">
        <f t="shared" si="6"/>
        <v>243165</v>
      </c>
      <c r="G27" s="26">
        <f t="shared" si="6"/>
        <v>145165</v>
      </c>
      <c r="H27" s="26">
        <f t="shared" si="6"/>
        <v>141965</v>
      </c>
      <c r="I27" s="26">
        <f t="shared" si="6"/>
        <v>143465</v>
      </c>
      <c r="J27" s="26">
        <f t="shared" si="6"/>
        <v>265265</v>
      </c>
      <c r="K27" s="26">
        <f t="shared" si="6"/>
        <v>141765</v>
      </c>
      <c r="L27" s="26">
        <f t="shared" si="6"/>
        <v>172265</v>
      </c>
      <c r="M27" s="26">
        <f t="shared" si="6"/>
        <v>136065</v>
      </c>
      <c r="N27" s="45"/>
      <c r="O27" s="23">
        <f>SUM(O4:O26)</f>
        <v>1897380</v>
      </c>
    </row>
    <row r="29" spans="1:17" x14ac:dyDescent="0.25">
      <c r="N29" s="46"/>
      <c r="O29" s="3"/>
    </row>
    <row r="30" spans="1:17" x14ac:dyDescent="0.25">
      <c r="A30" s="47" t="s">
        <v>55</v>
      </c>
      <c r="B30" s="48">
        <v>40000</v>
      </c>
      <c r="C30" s="48">
        <v>44000</v>
      </c>
      <c r="D30" s="48">
        <v>44000</v>
      </c>
      <c r="E30" s="48">
        <v>44000</v>
      </c>
      <c r="F30" s="48">
        <v>48000</v>
      </c>
      <c r="G30" s="48">
        <v>48000</v>
      </c>
      <c r="H30" s="48">
        <v>50000</v>
      </c>
      <c r="I30" s="48">
        <v>50000</v>
      </c>
      <c r="J30" s="48">
        <v>50000</v>
      </c>
      <c r="K30" s="48">
        <v>50000</v>
      </c>
      <c r="L30" s="48">
        <v>50000</v>
      </c>
      <c r="M30" s="48">
        <v>50000</v>
      </c>
      <c r="N30" s="48"/>
      <c r="O30" s="47"/>
      <c r="P30" s="49"/>
      <c r="Q30" s="47"/>
    </row>
    <row r="31" spans="1:17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9"/>
      <c r="Q31" s="47"/>
    </row>
    <row r="32" spans="1:17" x14ac:dyDescent="0.25">
      <c r="A32" s="47" t="s">
        <v>54</v>
      </c>
      <c r="B32" s="49">
        <f t="shared" ref="B32:I32" si="7">B30*15.26</f>
        <v>610400</v>
      </c>
      <c r="C32" s="49">
        <f t="shared" si="7"/>
        <v>671440</v>
      </c>
      <c r="D32" s="49">
        <f t="shared" si="7"/>
        <v>671440</v>
      </c>
      <c r="E32" s="49">
        <f t="shared" si="7"/>
        <v>671440</v>
      </c>
      <c r="F32" s="49">
        <f t="shared" si="7"/>
        <v>732480</v>
      </c>
      <c r="G32" s="49">
        <f t="shared" si="7"/>
        <v>732480</v>
      </c>
      <c r="H32" s="49">
        <f t="shared" si="7"/>
        <v>763000</v>
      </c>
      <c r="I32" s="49">
        <f t="shared" si="7"/>
        <v>763000</v>
      </c>
      <c r="J32" s="49">
        <f>J30*5.26</f>
        <v>263000</v>
      </c>
      <c r="K32" s="49">
        <f>K30*15.26</f>
        <v>763000</v>
      </c>
      <c r="L32" s="49">
        <f>L30*15.26</f>
        <v>763000</v>
      </c>
      <c r="M32" s="49">
        <f>M30*15.26</f>
        <v>763000</v>
      </c>
      <c r="N32" s="49"/>
      <c r="O32" s="50">
        <f>SUM(B32:N32)</f>
        <v>8167680</v>
      </c>
      <c r="P32" s="51" t="s">
        <v>86</v>
      </c>
      <c r="Q32" s="47"/>
    </row>
    <row r="33" spans="1:17" x14ac:dyDescent="0.25">
      <c r="A33" s="47" t="s">
        <v>83</v>
      </c>
      <c r="B33" s="52">
        <f>B32-B27</f>
        <v>481035</v>
      </c>
      <c r="C33" s="52">
        <f>C32-C27</f>
        <v>499075</v>
      </c>
      <c r="D33" s="52">
        <f t="shared" ref="D33:M33" si="8">D32-D27</f>
        <v>539275</v>
      </c>
      <c r="E33" s="52">
        <f t="shared" si="8"/>
        <v>525075</v>
      </c>
      <c r="F33" s="52">
        <f t="shared" si="8"/>
        <v>489315</v>
      </c>
      <c r="G33" s="53">
        <f t="shared" si="8"/>
        <v>587315</v>
      </c>
      <c r="H33" s="53">
        <f t="shared" si="8"/>
        <v>621035</v>
      </c>
      <c r="I33" s="53">
        <f t="shared" si="8"/>
        <v>619535</v>
      </c>
      <c r="J33" s="53">
        <f t="shared" si="8"/>
        <v>-2265</v>
      </c>
      <c r="K33" s="53">
        <f t="shared" si="8"/>
        <v>621235</v>
      </c>
      <c r="L33" s="53">
        <f t="shared" si="8"/>
        <v>590735</v>
      </c>
      <c r="M33" s="53">
        <f t="shared" si="8"/>
        <v>626935</v>
      </c>
      <c r="N33" s="53"/>
      <c r="O33" s="50">
        <f>SUM(B33:N33)</f>
        <v>6198300</v>
      </c>
      <c r="P33" s="51" t="s">
        <v>87</v>
      </c>
      <c r="Q33" s="47"/>
    </row>
    <row r="34" spans="1:1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51"/>
      <c r="Q34" s="47"/>
    </row>
    <row r="35" spans="1:17" x14ac:dyDescent="0.25">
      <c r="A35" s="47" t="s">
        <v>84</v>
      </c>
      <c r="B35" s="54">
        <f>B33*0.22</f>
        <v>105827.7</v>
      </c>
      <c r="C35" s="54">
        <f t="shared" ref="C35:M35" si="9">C33*0.22</f>
        <v>109796.5</v>
      </c>
      <c r="D35" s="54">
        <f t="shared" si="9"/>
        <v>118640.5</v>
      </c>
      <c r="E35" s="54">
        <f t="shared" si="9"/>
        <v>115516.5</v>
      </c>
      <c r="F35" s="54">
        <f t="shared" si="9"/>
        <v>107649.3</v>
      </c>
      <c r="G35" s="54">
        <f t="shared" si="9"/>
        <v>129209.3</v>
      </c>
      <c r="H35" s="54">
        <f t="shared" si="9"/>
        <v>136627.70000000001</v>
      </c>
      <c r="I35" s="54">
        <f t="shared" si="9"/>
        <v>136297.70000000001</v>
      </c>
      <c r="J35" s="54">
        <f t="shared" si="9"/>
        <v>-498.3</v>
      </c>
      <c r="K35" s="54">
        <f t="shared" si="9"/>
        <v>136671.70000000001</v>
      </c>
      <c r="L35" s="54">
        <f t="shared" si="9"/>
        <v>129961.7</v>
      </c>
      <c r="M35" s="54">
        <f t="shared" si="9"/>
        <v>137925.70000000001</v>
      </c>
      <c r="N35" s="54"/>
      <c r="O35" s="54">
        <f>SUM(B35:M35)</f>
        <v>1363625.9999999998</v>
      </c>
      <c r="P35" s="51" t="s">
        <v>88</v>
      </c>
      <c r="Q35" s="47"/>
    </row>
    <row r="36" spans="1:17" x14ac:dyDescent="0.25">
      <c r="A36" s="47" t="s">
        <v>85</v>
      </c>
      <c r="B36" s="54">
        <f>B33-B35</f>
        <v>375207.3</v>
      </c>
      <c r="C36" s="54">
        <f t="shared" ref="C36:M36" si="10">C33-C35</f>
        <v>389278.5</v>
      </c>
      <c r="D36" s="54">
        <f t="shared" si="10"/>
        <v>420634.5</v>
      </c>
      <c r="E36" s="54">
        <f t="shared" si="10"/>
        <v>409558.5</v>
      </c>
      <c r="F36" s="54">
        <f t="shared" si="10"/>
        <v>381665.7</v>
      </c>
      <c r="G36" s="54">
        <f t="shared" si="10"/>
        <v>458105.7</v>
      </c>
      <c r="H36" s="54">
        <f t="shared" si="10"/>
        <v>484407.3</v>
      </c>
      <c r="I36" s="54">
        <f t="shared" si="10"/>
        <v>483237.3</v>
      </c>
      <c r="J36" s="54">
        <f t="shared" si="10"/>
        <v>-1766.7</v>
      </c>
      <c r="K36" s="54">
        <f t="shared" si="10"/>
        <v>484563.3</v>
      </c>
      <c r="L36" s="54">
        <f t="shared" si="10"/>
        <v>460773.3</v>
      </c>
      <c r="M36" s="54">
        <f t="shared" si="10"/>
        <v>489009.3</v>
      </c>
      <c r="N36" s="47"/>
      <c r="O36" s="54">
        <f>SUM(B36:N36)</f>
        <v>4834673.9999999991</v>
      </c>
      <c r="P36" s="51" t="s">
        <v>78</v>
      </c>
      <c r="Q36" s="55">
        <f>O36/O32</f>
        <v>0.59192745063469665</v>
      </c>
    </row>
    <row r="37" spans="1:17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9"/>
      <c r="Q37" s="47"/>
    </row>
    <row r="38" spans="1:17" x14ac:dyDescent="0.25">
      <c r="A38" s="47" t="s">
        <v>144</v>
      </c>
      <c r="B38" s="61">
        <f>B36*0.5</f>
        <v>187603.65</v>
      </c>
      <c r="C38" s="61">
        <f t="shared" ref="C38:M38" si="11">C36*0.5</f>
        <v>194639.25</v>
      </c>
      <c r="D38" s="61">
        <f t="shared" si="11"/>
        <v>210317.25</v>
      </c>
      <c r="E38" s="61">
        <f t="shared" si="11"/>
        <v>204779.25</v>
      </c>
      <c r="F38" s="61">
        <f t="shared" si="11"/>
        <v>190832.85</v>
      </c>
      <c r="G38" s="61">
        <f t="shared" si="11"/>
        <v>229052.85</v>
      </c>
      <c r="H38" s="61">
        <f t="shared" si="11"/>
        <v>242203.65</v>
      </c>
      <c r="I38" s="61">
        <f t="shared" si="11"/>
        <v>241618.65</v>
      </c>
      <c r="J38" s="61">
        <f t="shared" si="11"/>
        <v>-883.35</v>
      </c>
      <c r="K38" s="61">
        <f t="shared" si="11"/>
        <v>242281.65</v>
      </c>
      <c r="L38" s="61">
        <f t="shared" si="11"/>
        <v>230386.65</v>
      </c>
      <c r="M38" s="61">
        <f t="shared" si="11"/>
        <v>244504.65</v>
      </c>
      <c r="N38" s="60"/>
      <c r="O38" s="61">
        <f>SUM(B38:M38)</f>
        <v>2417336.9999999995</v>
      </c>
      <c r="P38" s="51" t="s">
        <v>143</v>
      </c>
      <c r="Q38" s="47"/>
    </row>
    <row r="39" spans="1:17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9"/>
      <c r="Q39" s="47"/>
    </row>
    <row r="40" spans="1:17" x14ac:dyDescent="0.25">
      <c r="A40" s="47" t="s">
        <v>145</v>
      </c>
      <c r="B40" s="56">
        <f>B36-B38</f>
        <v>187603.65</v>
      </c>
      <c r="C40" s="56">
        <f t="shared" ref="C40:M40" si="12">C36-C38</f>
        <v>194639.25</v>
      </c>
      <c r="D40" s="56">
        <f t="shared" si="12"/>
        <v>210317.25</v>
      </c>
      <c r="E40" s="56">
        <f t="shared" si="12"/>
        <v>204779.25</v>
      </c>
      <c r="F40" s="56">
        <f t="shared" si="12"/>
        <v>190832.85</v>
      </c>
      <c r="G40" s="56">
        <f t="shared" si="12"/>
        <v>229052.85</v>
      </c>
      <c r="H40" s="56">
        <f t="shared" si="12"/>
        <v>242203.65</v>
      </c>
      <c r="I40" s="56">
        <f t="shared" si="12"/>
        <v>241618.65</v>
      </c>
      <c r="J40" s="56">
        <f t="shared" si="12"/>
        <v>-883.35</v>
      </c>
      <c r="K40" s="56">
        <f t="shared" si="12"/>
        <v>242281.65</v>
      </c>
      <c r="L40" s="56">
        <f t="shared" si="12"/>
        <v>230386.65</v>
      </c>
      <c r="M40" s="56">
        <f t="shared" si="12"/>
        <v>244504.65</v>
      </c>
      <c r="N40" s="47"/>
      <c r="O40" s="56">
        <f>SUM(B40:N40)</f>
        <v>2417336.9999999995</v>
      </c>
      <c r="P40" s="51" t="s">
        <v>96</v>
      </c>
      <c r="Q40" s="47"/>
    </row>
    <row r="41" spans="1:17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9"/>
      <c r="Q41" s="47"/>
    </row>
    <row r="43" spans="1:17" x14ac:dyDescent="0.25">
      <c r="O43" s="59"/>
    </row>
  </sheetData>
  <mergeCells count="1">
    <mergeCell ref="A2:M2"/>
  </mergeCells>
  <pageMargins left="0.7" right="0.7" top="0.75" bottom="0.75" header="0.3" footer="0.3"/>
  <pageSetup orientation="portrait" horizont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8"/>
  <sheetViews>
    <sheetView tabSelected="1" topLeftCell="K22" workbookViewId="0">
      <selection activeCell="A15" sqref="A15"/>
    </sheetView>
  </sheetViews>
  <sheetFormatPr defaultRowHeight="15" x14ac:dyDescent="0.25"/>
  <cols>
    <col min="1" max="1" width="24.5703125" customWidth="1"/>
    <col min="2" max="2" width="12.7109375" customWidth="1"/>
    <col min="3" max="14" width="11.28515625" customWidth="1"/>
    <col min="15" max="15" width="14" customWidth="1"/>
    <col min="16" max="16" width="24.5703125" style="23" customWidth="1"/>
  </cols>
  <sheetData>
    <row r="1" spans="1:15" x14ac:dyDescent="0.25">
      <c r="N1" s="43"/>
    </row>
    <row r="2" spans="1:15" ht="31.5" x14ac:dyDescent="0.25">
      <c r="A2" s="85" t="s">
        <v>146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66"/>
    </row>
    <row r="3" spans="1:15" x14ac:dyDescent="0.25">
      <c r="A3" s="4" t="s">
        <v>1</v>
      </c>
      <c r="B3" s="5" t="s">
        <v>100</v>
      </c>
      <c r="C3" s="5" t="s">
        <v>101</v>
      </c>
      <c r="D3" s="5" t="s">
        <v>102</v>
      </c>
      <c r="E3" s="5" t="s">
        <v>103</v>
      </c>
      <c r="F3" s="5" t="s">
        <v>104</v>
      </c>
      <c r="G3" s="5" t="s">
        <v>105</v>
      </c>
      <c r="H3" s="5" t="s">
        <v>106</v>
      </c>
      <c r="I3" s="5" t="s">
        <v>107</v>
      </c>
      <c r="J3" s="5" t="s">
        <v>108</v>
      </c>
      <c r="K3" s="5" t="s">
        <v>109</v>
      </c>
      <c r="L3" s="5" t="s">
        <v>110</v>
      </c>
      <c r="M3" s="5" t="s">
        <v>111</v>
      </c>
      <c r="N3" s="44"/>
    </row>
    <row r="4" spans="1:15" x14ac:dyDescent="0.25">
      <c r="A4" s="6" t="s">
        <v>42</v>
      </c>
      <c r="B4" s="24">
        <v>17000</v>
      </c>
      <c r="C4" s="24">
        <v>17000</v>
      </c>
      <c r="D4" s="24">
        <v>17000</v>
      </c>
      <c r="E4" s="24">
        <v>17000</v>
      </c>
      <c r="F4" s="24">
        <v>17000</v>
      </c>
      <c r="G4" s="24">
        <v>17000</v>
      </c>
      <c r="H4" s="24">
        <v>17000</v>
      </c>
      <c r="I4" s="24">
        <v>17000</v>
      </c>
      <c r="J4" s="24">
        <v>17000</v>
      </c>
      <c r="K4" s="24">
        <v>17000</v>
      </c>
      <c r="L4" s="24">
        <v>17000</v>
      </c>
      <c r="M4" s="24">
        <v>17000</v>
      </c>
      <c r="N4" s="45"/>
      <c r="O4" s="22">
        <f>SUM(B4:M4)</f>
        <v>204000</v>
      </c>
    </row>
    <row r="5" spans="1:15" x14ac:dyDescent="0.25">
      <c r="A5" s="6" t="s">
        <v>75</v>
      </c>
      <c r="B5" s="24">
        <v>14000</v>
      </c>
      <c r="C5" s="24">
        <v>14000</v>
      </c>
      <c r="D5" s="24">
        <v>14000</v>
      </c>
      <c r="E5" s="24">
        <v>14000</v>
      </c>
      <c r="F5" s="24">
        <v>14000</v>
      </c>
      <c r="G5" s="24">
        <v>14000</v>
      </c>
      <c r="H5" s="24">
        <v>14000</v>
      </c>
      <c r="I5" s="24">
        <v>14000</v>
      </c>
      <c r="J5" s="24">
        <v>14000</v>
      </c>
      <c r="K5" s="24">
        <v>14000</v>
      </c>
      <c r="L5" s="24">
        <v>14000</v>
      </c>
      <c r="M5" s="24">
        <v>14000</v>
      </c>
      <c r="N5" s="45"/>
      <c r="O5" s="22">
        <f>SUM(B5:M5)</f>
        <v>168000</v>
      </c>
    </row>
    <row r="6" spans="1:15" x14ac:dyDescent="0.25">
      <c r="A6" s="6" t="s">
        <v>37</v>
      </c>
      <c r="B6" s="24"/>
      <c r="C6" s="24">
        <v>15000</v>
      </c>
      <c r="D6" s="24">
        <v>25000</v>
      </c>
      <c r="E6" s="24"/>
      <c r="F6" s="24">
        <v>25000</v>
      </c>
      <c r="G6" s="24"/>
      <c r="H6" s="24">
        <v>35000</v>
      </c>
      <c r="I6" s="24">
        <v>40000</v>
      </c>
      <c r="J6" s="24">
        <v>45000</v>
      </c>
      <c r="K6" s="24">
        <v>25000</v>
      </c>
      <c r="L6" s="24"/>
      <c r="M6" s="24"/>
      <c r="N6" s="45"/>
      <c r="O6" s="22">
        <f t="shared" ref="O6:O28" si="0">SUM(B6:M6)</f>
        <v>210000</v>
      </c>
    </row>
    <row r="7" spans="1:15" x14ac:dyDescent="0.25">
      <c r="A7" s="6" t="s">
        <v>131</v>
      </c>
      <c r="B7" s="24">
        <v>12000</v>
      </c>
      <c r="C7" s="24">
        <v>12000</v>
      </c>
      <c r="D7" s="24">
        <v>12000</v>
      </c>
      <c r="E7" s="24">
        <v>12000</v>
      </c>
      <c r="F7" s="24">
        <v>12000</v>
      </c>
      <c r="G7" s="24">
        <v>12000</v>
      </c>
      <c r="H7" s="24">
        <v>12000</v>
      </c>
      <c r="I7" s="24">
        <v>12000</v>
      </c>
      <c r="J7" s="24">
        <v>12000</v>
      </c>
      <c r="K7" s="24">
        <v>12000</v>
      </c>
      <c r="L7" s="24">
        <v>12000</v>
      </c>
      <c r="M7" s="24">
        <v>12000</v>
      </c>
      <c r="N7" s="45"/>
      <c r="O7" s="22">
        <f t="shared" si="0"/>
        <v>144000</v>
      </c>
    </row>
    <row r="8" spans="1:15" x14ac:dyDescent="0.25">
      <c r="A8" s="6" t="s">
        <v>94</v>
      </c>
      <c r="B8" s="24">
        <v>6500</v>
      </c>
      <c r="C8" s="24">
        <v>6500</v>
      </c>
      <c r="D8" s="24">
        <v>6500</v>
      </c>
      <c r="E8" s="24">
        <v>6500</v>
      </c>
      <c r="F8" s="24">
        <v>6500</v>
      </c>
      <c r="G8" s="24">
        <v>6500</v>
      </c>
      <c r="H8" s="24">
        <v>6500</v>
      </c>
      <c r="I8" s="24">
        <v>6500</v>
      </c>
      <c r="J8" s="24">
        <v>6500</v>
      </c>
      <c r="K8" s="24">
        <v>6500</v>
      </c>
      <c r="L8" s="24">
        <v>6500</v>
      </c>
      <c r="M8" s="24">
        <v>6500</v>
      </c>
      <c r="N8" s="45"/>
      <c r="O8" s="22">
        <f t="shared" si="0"/>
        <v>78000</v>
      </c>
    </row>
    <row r="9" spans="1:15" x14ac:dyDescent="0.25">
      <c r="A9" s="6" t="s">
        <v>43</v>
      </c>
      <c r="B9" s="24">
        <v>6500</v>
      </c>
      <c r="C9" s="24">
        <v>6500</v>
      </c>
      <c r="D9" s="24">
        <v>6500</v>
      </c>
      <c r="E9" s="24">
        <v>6500</v>
      </c>
      <c r="F9" s="24">
        <v>6500</v>
      </c>
      <c r="G9" s="24">
        <v>6500</v>
      </c>
      <c r="H9" s="24">
        <v>6500</v>
      </c>
      <c r="I9" s="24">
        <v>6500</v>
      </c>
      <c r="J9" s="24">
        <v>6500</v>
      </c>
      <c r="K9" s="24">
        <v>6500</v>
      </c>
      <c r="L9" s="24">
        <v>6500</v>
      </c>
      <c r="M9" s="24">
        <v>6500</v>
      </c>
      <c r="N9" s="45"/>
      <c r="O9" s="22">
        <f t="shared" si="0"/>
        <v>78000</v>
      </c>
    </row>
    <row r="10" spans="1:15" x14ac:dyDescent="0.25">
      <c r="A10" s="6" t="s">
        <v>130</v>
      </c>
      <c r="B10" s="24">
        <v>4600</v>
      </c>
      <c r="C10" s="24">
        <v>4600</v>
      </c>
      <c r="D10" s="24">
        <v>4600</v>
      </c>
      <c r="E10" s="24">
        <v>4600</v>
      </c>
      <c r="F10" s="24">
        <v>4600</v>
      </c>
      <c r="G10" s="24">
        <v>4600</v>
      </c>
      <c r="H10" s="24">
        <v>4600</v>
      </c>
      <c r="I10" s="24">
        <v>4600</v>
      </c>
      <c r="J10" s="24">
        <v>4600</v>
      </c>
      <c r="K10" s="24">
        <v>4600</v>
      </c>
      <c r="L10" s="24">
        <v>4600</v>
      </c>
      <c r="M10" s="24">
        <v>4600</v>
      </c>
      <c r="N10" s="45"/>
      <c r="O10" s="22">
        <f t="shared" si="0"/>
        <v>55200</v>
      </c>
    </row>
    <row r="11" spans="1:15" x14ac:dyDescent="0.25">
      <c r="A11" s="6" t="s">
        <v>149</v>
      </c>
      <c r="B11" s="24">
        <v>7000</v>
      </c>
      <c r="C11" s="24">
        <v>7000</v>
      </c>
      <c r="D11" s="24">
        <v>7000</v>
      </c>
      <c r="E11" s="24">
        <v>7000</v>
      </c>
      <c r="F11" s="24">
        <v>7000</v>
      </c>
      <c r="G11" s="24">
        <v>7000</v>
      </c>
      <c r="H11" s="24">
        <v>7000</v>
      </c>
      <c r="I11" s="24">
        <v>7000</v>
      </c>
      <c r="J11" s="24">
        <v>7000</v>
      </c>
      <c r="K11" s="24">
        <v>7000</v>
      </c>
      <c r="L11" s="24">
        <v>7000</v>
      </c>
      <c r="M11" s="24">
        <v>7000</v>
      </c>
      <c r="N11" s="45"/>
      <c r="O11" s="22">
        <f t="shared" si="0"/>
        <v>84000</v>
      </c>
    </row>
    <row r="12" spans="1:15" x14ac:dyDescent="0.25">
      <c r="A12" s="6" t="s">
        <v>45</v>
      </c>
      <c r="B12" s="24">
        <v>12000</v>
      </c>
      <c r="C12" s="24">
        <v>12000</v>
      </c>
      <c r="D12" s="24">
        <v>12000</v>
      </c>
      <c r="E12" s="24">
        <v>12000</v>
      </c>
      <c r="F12" s="24">
        <v>12000</v>
      </c>
      <c r="G12" s="24">
        <v>12000</v>
      </c>
      <c r="H12" s="24">
        <v>12000</v>
      </c>
      <c r="I12" s="24">
        <v>12000</v>
      </c>
      <c r="J12" s="24">
        <v>12000</v>
      </c>
      <c r="K12" s="24">
        <v>12000</v>
      </c>
      <c r="L12" s="24">
        <v>12000</v>
      </c>
      <c r="M12" s="24">
        <v>12000</v>
      </c>
      <c r="N12" s="45"/>
      <c r="O12" s="22">
        <f t="shared" si="0"/>
        <v>144000</v>
      </c>
    </row>
    <row r="13" spans="1:15" x14ac:dyDescent="0.25">
      <c r="A13" s="6" t="s">
        <v>49</v>
      </c>
      <c r="B13" s="24">
        <v>6000</v>
      </c>
      <c r="C13" s="24">
        <v>6000</v>
      </c>
      <c r="D13" s="24">
        <v>6000</v>
      </c>
      <c r="E13" s="24">
        <v>6000</v>
      </c>
      <c r="F13" s="24">
        <v>6000</v>
      </c>
      <c r="G13" s="24">
        <v>6000</v>
      </c>
      <c r="H13" s="24">
        <v>6000</v>
      </c>
      <c r="I13" s="24">
        <v>6000</v>
      </c>
      <c r="J13" s="24">
        <v>6000</v>
      </c>
      <c r="K13" s="24">
        <v>6000</v>
      </c>
      <c r="L13" s="24">
        <v>6000</v>
      </c>
      <c r="M13" s="24">
        <v>6000</v>
      </c>
      <c r="N13" s="45"/>
      <c r="O13" s="22">
        <f t="shared" si="0"/>
        <v>72000</v>
      </c>
    </row>
    <row r="14" spans="1:15" x14ac:dyDescent="0.25">
      <c r="A14" s="6" t="s">
        <v>150</v>
      </c>
      <c r="B14" s="24">
        <v>9000</v>
      </c>
      <c r="C14" s="24">
        <v>9000</v>
      </c>
      <c r="D14" s="24">
        <v>9000</v>
      </c>
      <c r="E14" s="24">
        <v>9000</v>
      </c>
      <c r="F14" s="24">
        <v>9000</v>
      </c>
      <c r="G14" s="24">
        <v>9000</v>
      </c>
      <c r="H14" s="24">
        <v>9000</v>
      </c>
      <c r="I14" s="24">
        <v>9000</v>
      </c>
      <c r="J14" s="24">
        <v>9000</v>
      </c>
      <c r="K14" s="24">
        <v>9000</v>
      </c>
      <c r="L14" s="24">
        <v>9000</v>
      </c>
      <c r="M14" s="24">
        <v>9000</v>
      </c>
      <c r="N14" s="45"/>
      <c r="O14" s="22">
        <f t="shared" si="0"/>
        <v>108000</v>
      </c>
    </row>
    <row r="15" spans="1:15" x14ac:dyDescent="0.25">
      <c r="A15" s="6" t="s">
        <v>153</v>
      </c>
      <c r="B15" s="24">
        <v>7300</v>
      </c>
      <c r="C15" s="24">
        <v>7300</v>
      </c>
      <c r="D15" s="24">
        <v>7300</v>
      </c>
      <c r="E15" s="24">
        <v>7300</v>
      </c>
      <c r="F15" s="24">
        <v>7300</v>
      </c>
      <c r="G15" s="24">
        <v>7300</v>
      </c>
      <c r="H15" s="24">
        <v>7300</v>
      </c>
      <c r="I15" s="24">
        <v>7300</v>
      </c>
      <c r="J15" s="24">
        <v>7300</v>
      </c>
      <c r="K15" s="24">
        <v>7300</v>
      </c>
      <c r="L15" s="24">
        <v>7300</v>
      </c>
      <c r="M15" s="24">
        <v>7300</v>
      </c>
      <c r="N15" s="45"/>
      <c r="O15" s="22">
        <f t="shared" si="0"/>
        <v>87600</v>
      </c>
    </row>
    <row r="16" spans="1:15" x14ac:dyDescent="0.25">
      <c r="A16" s="6" t="s">
        <v>50</v>
      </c>
      <c r="B16" s="24">
        <v>6500</v>
      </c>
      <c r="C16" s="24">
        <v>6500</v>
      </c>
      <c r="D16" s="24">
        <v>6500</v>
      </c>
      <c r="E16" s="24">
        <v>6500</v>
      </c>
      <c r="F16" s="24">
        <v>6500</v>
      </c>
      <c r="G16" s="24">
        <v>6500</v>
      </c>
      <c r="H16" s="24">
        <v>6500</v>
      </c>
      <c r="I16" s="24">
        <v>6500</v>
      </c>
      <c r="J16" s="24">
        <v>6500</v>
      </c>
      <c r="K16" s="24">
        <v>6500</v>
      </c>
      <c r="L16" s="24">
        <v>6500</v>
      </c>
      <c r="M16" s="24">
        <v>6500</v>
      </c>
      <c r="N16" s="45"/>
      <c r="O16" s="22">
        <f t="shared" si="0"/>
        <v>78000</v>
      </c>
    </row>
    <row r="17" spans="1:15" x14ac:dyDescent="0.25">
      <c r="A17" s="6" t="s">
        <v>51</v>
      </c>
      <c r="B17" s="24">
        <v>3500</v>
      </c>
      <c r="C17" s="24">
        <v>3500</v>
      </c>
      <c r="D17" s="24">
        <v>3500</v>
      </c>
      <c r="E17" s="24">
        <v>3500</v>
      </c>
      <c r="F17" s="24">
        <v>3500</v>
      </c>
      <c r="G17" s="24">
        <v>3500</v>
      </c>
      <c r="H17" s="24">
        <v>3500</v>
      </c>
      <c r="I17" s="24">
        <v>3500</v>
      </c>
      <c r="J17" s="24">
        <v>3500</v>
      </c>
      <c r="K17" s="24">
        <v>3500</v>
      </c>
      <c r="L17" s="24">
        <v>3500</v>
      </c>
      <c r="M17" s="24">
        <v>3500</v>
      </c>
      <c r="N17" s="45"/>
      <c r="O17" s="22">
        <f t="shared" si="0"/>
        <v>42000</v>
      </c>
    </row>
    <row r="18" spans="1:15" x14ac:dyDescent="0.25">
      <c r="A18" s="31" t="s">
        <v>59</v>
      </c>
      <c r="B18" s="33">
        <v>2700</v>
      </c>
      <c r="C18" s="33">
        <v>2700</v>
      </c>
      <c r="D18" s="33">
        <v>2700</v>
      </c>
      <c r="E18" s="33">
        <v>2700</v>
      </c>
      <c r="F18" s="33">
        <v>2700</v>
      </c>
      <c r="G18" s="33">
        <v>2700</v>
      </c>
      <c r="H18" s="33">
        <v>2700</v>
      </c>
      <c r="I18" s="33">
        <v>2700</v>
      </c>
      <c r="J18" s="33">
        <v>2700</v>
      </c>
      <c r="K18" s="33">
        <v>2700</v>
      </c>
      <c r="L18" s="33">
        <v>2700</v>
      </c>
      <c r="M18" s="33">
        <v>2700</v>
      </c>
      <c r="N18" s="45"/>
      <c r="O18" s="22">
        <f t="shared" si="0"/>
        <v>32400</v>
      </c>
    </row>
    <row r="19" spans="1:15" x14ac:dyDescent="0.25">
      <c r="A19" s="1" t="s">
        <v>38</v>
      </c>
      <c r="B19" s="12">
        <v>15000</v>
      </c>
      <c r="C19" s="12">
        <v>7500</v>
      </c>
      <c r="D19" s="12">
        <v>7500</v>
      </c>
      <c r="E19" s="12">
        <v>7500</v>
      </c>
      <c r="F19" s="12">
        <v>7500</v>
      </c>
      <c r="G19" s="12">
        <v>7500</v>
      </c>
      <c r="H19" s="12">
        <v>7500</v>
      </c>
      <c r="I19" s="12">
        <v>7500</v>
      </c>
      <c r="J19" s="12">
        <v>7500</v>
      </c>
      <c r="K19" s="12">
        <v>7500</v>
      </c>
      <c r="L19" s="12">
        <v>7500</v>
      </c>
      <c r="M19" s="12">
        <v>7500</v>
      </c>
      <c r="N19" s="45"/>
      <c r="O19" s="22">
        <f t="shared" si="0"/>
        <v>97500</v>
      </c>
    </row>
    <row r="20" spans="1:15" x14ac:dyDescent="0.25">
      <c r="A20" s="1" t="s">
        <v>44</v>
      </c>
      <c r="B20" s="12">
        <v>20000</v>
      </c>
      <c r="C20" s="12">
        <v>20000</v>
      </c>
      <c r="D20" s="12">
        <v>20000</v>
      </c>
      <c r="E20" s="12">
        <v>20000</v>
      </c>
      <c r="F20" s="12">
        <v>85000</v>
      </c>
      <c r="G20" s="12">
        <v>20000</v>
      </c>
      <c r="H20" s="12">
        <v>15000</v>
      </c>
      <c r="I20" s="12">
        <v>15000</v>
      </c>
      <c r="J20" s="12">
        <v>55000</v>
      </c>
      <c r="K20" s="12">
        <v>10000</v>
      </c>
      <c r="L20" s="12">
        <v>10000</v>
      </c>
      <c r="M20" s="12">
        <v>10000</v>
      </c>
      <c r="N20" s="45"/>
      <c r="O20" s="22">
        <f t="shared" si="0"/>
        <v>300000</v>
      </c>
    </row>
    <row r="21" spans="1:15" x14ac:dyDescent="0.25">
      <c r="A21" s="1" t="s">
        <v>58</v>
      </c>
      <c r="B21" s="12">
        <v>2500</v>
      </c>
      <c r="C21" s="12">
        <v>1200</v>
      </c>
      <c r="D21" s="12">
        <v>0</v>
      </c>
      <c r="E21" s="12">
        <v>3500</v>
      </c>
      <c r="F21" s="12">
        <v>1200</v>
      </c>
      <c r="G21" s="12">
        <v>0</v>
      </c>
      <c r="H21" s="12">
        <v>2500</v>
      </c>
      <c r="I21" s="12">
        <v>2500</v>
      </c>
      <c r="J21" s="12">
        <v>3000</v>
      </c>
      <c r="K21" s="12">
        <v>1200</v>
      </c>
      <c r="L21" s="12">
        <v>1200</v>
      </c>
      <c r="M21" s="12">
        <v>0</v>
      </c>
      <c r="N21" s="45"/>
      <c r="O21" s="22">
        <f t="shared" si="0"/>
        <v>18800</v>
      </c>
    </row>
    <row r="22" spans="1:15" x14ac:dyDescent="0.25">
      <c r="A22" s="1" t="s">
        <v>46</v>
      </c>
      <c r="B22" s="12">
        <v>15000</v>
      </c>
      <c r="C22" s="12">
        <v>15000</v>
      </c>
      <c r="D22" s="12">
        <v>15000</v>
      </c>
      <c r="E22" s="12">
        <v>15000</v>
      </c>
      <c r="F22" s="12">
        <v>15000</v>
      </c>
      <c r="G22" s="12">
        <v>15000</v>
      </c>
      <c r="H22" s="12">
        <v>15000</v>
      </c>
      <c r="I22" s="12">
        <v>15000</v>
      </c>
      <c r="J22" s="12">
        <v>15000</v>
      </c>
      <c r="K22" s="12">
        <v>15000</v>
      </c>
      <c r="L22" s="12">
        <v>15000</v>
      </c>
      <c r="M22" s="12">
        <v>15000</v>
      </c>
      <c r="N22" s="45"/>
      <c r="O22" s="22">
        <f t="shared" si="0"/>
        <v>180000</v>
      </c>
    </row>
    <row r="23" spans="1:15" x14ac:dyDescent="0.25">
      <c r="A23" s="1" t="s">
        <v>148</v>
      </c>
      <c r="B23" s="12">
        <v>12000</v>
      </c>
      <c r="C23" s="12">
        <v>12000</v>
      </c>
      <c r="D23" s="12">
        <v>12000</v>
      </c>
      <c r="E23" s="12">
        <v>12000</v>
      </c>
      <c r="F23" s="12">
        <v>12000</v>
      </c>
      <c r="G23" s="12">
        <v>12000</v>
      </c>
      <c r="H23" s="12">
        <v>12000</v>
      </c>
      <c r="I23" s="12">
        <v>12000</v>
      </c>
      <c r="J23" s="12">
        <v>12000</v>
      </c>
      <c r="K23" s="12">
        <v>12000</v>
      </c>
      <c r="L23" s="12">
        <v>12000</v>
      </c>
      <c r="M23" s="12">
        <v>12000</v>
      </c>
      <c r="N23" s="45"/>
      <c r="O23" s="22">
        <f t="shared" si="0"/>
        <v>144000</v>
      </c>
    </row>
    <row r="24" spans="1:15" x14ac:dyDescent="0.25">
      <c r="A24" s="1" t="s">
        <v>74</v>
      </c>
      <c r="B24" s="12"/>
      <c r="C24" s="12">
        <v>3000</v>
      </c>
      <c r="D24" s="12"/>
      <c r="E24" s="12">
        <v>5000</v>
      </c>
      <c r="F24" s="12">
        <v>3000</v>
      </c>
      <c r="G24" s="12"/>
      <c r="H24" s="12">
        <v>3000</v>
      </c>
      <c r="I24" s="12"/>
      <c r="J24" s="12">
        <v>3000</v>
      </c>
      <c r="K24" s="12">
        <v>5000</v>
      </c>
      <c r="L24" s="12"/>
      <c r="M24" s="12">
        <v>2000</v>
      </c>
      <c r="N24" s="45"/>
      <c r="O24" s="22">
        <f>SUM(B24:M24)</f>
        <v>24000</v>
      </c>
    </row>
    <row r="25" spans="1:15" x14ac:dyDescent="0.25">
      <c r="A25" s="1" t="s">
        <v>40</v>
      </c>
      <c r="B25" s="12">
        <v>5500</v>
      </c>
      <c r="C25" s="12"/>
      <c r="D25" s="12">
        <v>10000</v>
      </c>
      <c r="E25" s="12">
        <v>2500</v>
      </c>
      <c r="F25" s="12"/>
      <c r="G25" s="12">
        <v>1200</v>
      </c>
      <c r="H25" s="12"/>
      <c r="I25" s="12">
        <v>4500</v>
      </c>
      <c r="J25" s="12">
        <v>7500</v>
      </c>
      <c r="K25" s="12">
        <v>6500</v>
      </c>
      <c r="L25" s="12">
        <v>4500</v>
      </c>
      <c r="M25" s="12"/>
      <c r="N25" s="45"/>
      <c r="O25" s="22">
        <f t="shared" si="0"/>
        <v>42200</v>
      </c>
    </row>
    <row r="26" spans="1:15" x14ac:dyDescent="0.25">
      <c r="A26" s="1" t="s">
        <v>22</v>
      </c>
      <c r="B26" s="12">
        <f>(B4+B5+B6+B7+B8+B9+B18+B10+B12+B13+B15+B16+B17)*0.2</f>
        <v>19720</v>
      </c>
      <c r="C26" s="12">
        <f t="shared" ref="C26:M26" si="1">(C4+C5+C6+C7+C8+C9+C18+C10+C12+C13+C15+C16+C17)*0.2</f>
        <v>22720</v>
      </c>
      <c r="D26" s="12">
        <f t="shared" si="1"/>
        <v>24720</v>
      </c>
      <c r="E26" s="12">
        <f t="shared" si="1"/>
        <v>19720</v>
      </c>
      <c r="F26" s="12">
        <f t="shared" si="1"/>
        <v>24720</v>
      </c>
      <c r="G26" s="12">
        <f t="shared" si="1"/>
        <v>19720</v>
      </c>
      <c r="H26" s="12">
        <f t="shared" si="1"/>
        <v>26720</v>
      </c>
      <c r="I26" s="12">
        <f t="shared" si="1"/>
        <v>27720</v>
      </c>
      <c r="J26" s="12">
        <f t="shared" si="1"/>
        <v>28720</v>
      </c>
      <c r="K26" s="12">
        <f t="shared" si="1"/>
        <v>24720</v>
      </c>
      <c r="L26" s="12">
        <f t="shared" si="1"/>
        <v>19720</v>
      </c>
      <c r="M26" s="12">
        <f t="shared" si="1"/>
        <v>19720</v>
      </c>
      <c r="N26" s="45"/>
      <c r="O26" s="22">
        <f t="shared" si="0"/>
        <v>278640</v>
      </c>
    </row>
    <row r="27" spans="1:15" x14ac:dyDescent="0.25">
      <c r="A27" s="1" t="s">
        <v>52</v>
      </c>
      <c r="B27" s="12">
        <f>B26*0.5</f>
        <v>9860</v>
      </c>
      <c r="C27" s="12">
        <f t="shared" ref="C27:M27" si="2">C26*0.5</f>
        <v>11360</v>
      </c>
      <c r="D27" s="12">
        <f t="shared" si="2"/>
        <v>12360</v>
      </c>
      <c r="E27" s="12">
        <f t="shared" si="2"/>
        <v>9860</v>
      </c>
      <c r="F27" s="12">
        <f t="shared" si="2"/>
        <v>12360</v>
      </c>
      <c r="G27" s="12">
        <f t="shared" si="2"/>
        <v>9860</v>
      </c>
      <c r="H27" s="12">
        <f t="shared" si="2"/>
        <v>13360</v>
      </c>
      <c r="I27" s="12">
        <f t="shared" si="2"/>
        <v>13860</v>
      </c>
      <c r="J27" s="12">
        <f t="shared" si="2"/>
        <v>14360</v>
      </c>
      <c r="K27" s="12">
        <f t="shared" si="2"/>
        <v>12360</v>
      </c>
      <c r="L27" s="12">
        <f t="shared" si="2"/>
        <v>9860</v>
      </c>
      <c r="M27" s="12">
        <f t="shared" si="2"/>
        <v>9860</v>
      </c>
      <c r="N27" s="45"/>
      <c r="O27" s="22">
        <f t="shared" si="0"/>
        <v>139320</v>
      </c>
    </row>
    <row r="28" spans="1:15" x14ac:dyDescent="0.25">
      <c r="A28" s="1" t="s">
        <v>57</v>
      </c>
      <c r="B28" s="12">
        <v>6000</v>
      </c>
      <c r="C28" s="12">
        <v>8500</v>
      </c>
      <c r="D28" s="12">
        <v>17000</v>
      </c>
      <c r="E28" s="12">
        <v>30000</v>
      </c>
      <c r="F28" s="12">
        <v>30000</v>
      </c>
      <c r="G28" s="12">
        <v>35000</v>
      </c>
      <c r="H28" s="12">
        <v>30000</v>
      </c>
      <c r="I28" s="12">
        <v>25000</v>
      </c>
      <c r="J28" s="12">
        <v>30000</v>
      </c>
      <c r="K28" s="12">
        <v>35000</v>
      </c>
      <c r="L28" s="12">
        <v>30000</v>
      </c>
      <c r="M28" s="12">
        <v>30000</v>
      </c>
      <c r="N28" s="45"/>
      <c r="O28" s="22">
        <f t="shared" si="0"/>
        <v>306500</v>
      </c>
    </row>
    <row r="29" spans="1:15" ht="15.75" thickBot="1" x14ac:dyDescent="0.3">
      <c r="A29" s="1" t="s">
        <v>48</v>
      </c>
      <c r="B29" s="25">
        <v>2500</v>
      </c>
      <c r="C29" s="25">
        <v>2500</v>
      </c>
      <c r="D29" s="25">
        <v>2500</v>
      </c>
      <c r="E29" s="25">
        <v>2500</v>
      </c>
      <c r="F29" s="25">
        <v>2500</v>
      </c>
      <c r="G29" s="25">
        <v>2500</v>
      </c>
      <c r="H29" s="25">
        <v>2500</v>
      </c>
      <c r="I29" s="25">
        <v>2500</v>
      </c>
      <c r="J29" s="25">
        <v>2500</v>
      </c>
      <c r="K29" s="25">
        <v>2500</v>
      </c>
      <c r="L29" s="25">
        <v>2500</v>
      </c>
      <c r="M29" s="25">
        <v>2500</v>
      </c>
      <c r="N29" s="45"/>
      <c r="O29" s="22">
        <f>SUM(B29:M29)</f>
        <v>30000</v>
      </c>
    </row>
    <row r="30" spans="1:15" x14ac:dyDescent="0.25">
      <c r="A30" s="21" t="s">
        <v>73</v>
      </c>
      <c r="B30" s="26">
        <f t="shared" ref="B30:M30" si="3">SUM(B4:B29)</f>
        <v>222680</v>
      </c>
      <c r="C30" s="26">
        <f t="shared" si="3"/>
        <v>233380</v>
      </c>
      <c r="D30" s="26">
        <f t="shared" si="3"/>
        <v>260680</v>
      </c>
      <c r="E30" s="26">
        <f t="shared" si="3"/>
        <v>242180</v>
      </c>
      <c r="F30" s="26">
        <f t="shared" si="3"/>
        <v>332880</v>
      </c>
      <c r="G30" s="26">
        <f t="shared" si="3"/>
        <v>237380</v>
      </c>
      <c r="H30" s="26">
        <f t="shared" si="3"/>
        <v>277180</v>
      </c>
      <c r="I30" s="26">
        <f t="shared" si="3"/>
        <v>280180</v>
      </c>
      <c r="J30" s="26">
        <f t="shared" si="3"/>
        <v>338180</v>
      </c>
      <c r="K30" s="26">
        <f t="shared" si="3"/>
        <v>271380</v>
      </c>
      <c r="L30" s="26">
        <f t="shared" si="3"/>
        <v>226880</v>
      </c>
      <c r="M30" s="26">
        <f t="shared" si="3"/>
        <v>223180</v>
      </c>
      <c r="N30" s="45"/>
      <c r="O30" s="23">
        <f>SUM(O4:O29)</f>
        <v>3146160</v>
      </c>
    </row>
    <row r="32" spans="1:15" x14ac:dyDescent="0.25">
      <c r="N32" s="46"/>
      <c r="O32" s="3"/>
    </row>
    <row r="33" spans="1:17" x14ac:dyDescent="0.25">
      <c r="A33" s="47" t="s">
        <v>55</v>
      </c>
      <c r="B33" s="48">
        <v>55000</v>
      </c>
      <c r="C33" s="48">
        <v>55000</v>
      </c>
      <c r="D33" s="48">
        <v>55000</v>
      </c>
      <c r="E33" s="48">
        <v>60000</v>
      </c>
      <c r="F33" s="48">
        <v>65000</v>
      </c>
      <c r="G33" s="48">
        <v>65000</v>
      </c>
      <c r="H33" s="48">
        <v>70000</v>
      </c>
      <c r="I33" s="48">
        <v>70000</v>
      </c>
      <c r="J33" s="48">
        <v>75000</v>
      </c>
      <c r="K33" s="48">
        <v>80000</v>
      </c>
      <c r="L33" s="48">
        <v>80000</v>
      </c>
      <c r="M33" s="48">
        <v>85000</v>
      </c>
      <c r="N33" s="48"/>
      <c r="O33" s="47"/>
      <c r="P33" s="49"/>
      <c r="Q33" s="47"/>
    </row>
    <row r="34" spans="1:1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9"/>
      <c r="Q34" s="47"/>
    </row>
    <row r="35" spans="1:17" x14ac:dyDescent="0.25">
      <c r="A35" s="47" t="s">
        <v>54</v>
      </c>
      <c r="B35" s="49">
        <f t="shared" ref="B35:M35" si="4">B33*15.26</f>
        <v>839300</v>
      </c>
      <c r="C35" s="49">
        <f t="shared" si="4"/>
        <v>839300</v>
      </c>
      <c r="D35" s="49">
        <f t="shared" si="4"/>
        <v>839300</v>
      </c>
      <c r="E35" s="49">
        <f t="shared" si="4"/>
        <v>915600</v>
      </c>
      <c r="F35" s="49">
        <f t="shared" si="4"/>
        <v>991900</v>
      </c>
      <c r="G35" s="49">
        <f t="shared" si="4"/>
        <v>991900</v>
      </c>
      <c r="H35" s="49">
        <f t="shared" si="4"/>
        <v>1068200</v>
      </c>
      <c r="I35" s="49">
        <f t="shared" si="4"/>
        <v>1068200</v>
      </c>
      <c r="J35" s="49">
        <f t="shared" si="4"/>
        <v>1144500</v>
      </c>
      <c r="K35" s="49">
        <f t="shared" si="4"/>
        <v>1220800</v>
      </c>
      <c r="L35" s="49">
        <f t="shared" si="4"/>
        <v>1220800</v>
      </c>
      <c r="M35" s="49">
        <f t="shared" si="4"/>
        <v>1297100</v>
      </c>
      <c r="N35" s="49"/>
      <c r="O35" s="50">
        <f>SUM(B35:N35)</f>
        <v>12436900</v>
      </c>
      <c r="P35" s="51" t="s">
        <v>86</v>
      </c>
      <c r="Q35" s="47"/>
    </row>
    <row r="36" spans="1:17" x14ac:dyDescent="0.25">
      <c r="A36" s="47" t="s">
        <v>83</v>
      </c>
      <c r="B36" s="52">
        <f>B35-B30</f>
        <v>616620</v>
      </c>
      <c r="C36" s="52">
        <f>C35-C30</f>
        <v>605920</v>
      </c>
      <c r="D36" s="52">
        <f t="shared" ref="D36:M36" si="5">D35-D30</f>
        <v>578620</v>
      </c>
      <c r="E36" s="52">
        <f t="shared" si="5"/>
        <v>673420</v>
      </c>
      <c r="F36" s="52">
        <f t="shared" si="5"/>
        <v>659020</v>
      </c>
      <c r="G36" s="53">
        <f t="shared" si="5"/>
        <v>754520</v>
      </c>
      <c r="H36" s="53">
        <f t="shared" si="5"/>
        <v>791020</v>
      </c>
      <c r="I36" s="53">
        <f t="shared" si="5"/>
        <v>788020</v>
      </c>
      <c r="J36" s="53">
        <f t="shared" si="5"/>
        <v>806320</v>
      </c>
      <c r="K36" s="53">
        <f t="shared" si="5"/>
        <v>949420</v>
      </c>
      <c r="L36" s="53">
        <f t="shared" si="5"/>
        <v>993920</v>
      </c>
      <c r="M36" s="53">
        <f t="shared" si="5"/>
        <v>1073920</v>
      </c>
      <c r="N36" s="53"/>
      <c r="O36" s="50">
        <f>SUM(B36:N36)</f>
        <v>9290740</v>
      </c>
      <c r="P36" s="51" t="s">
        <v>87</v>
      </c>
      <c r="Q36" s="47"/>
    </row>
    <row r="37" spans="1:17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51"/>
      <c r="Q37" s="47"/>
    </row>
    <row r="38" spans="1:17" x14ac:dyDescent="0.25">
      <c r="A38" s="47" t="s">
        <v>84</v>
      </c>
      <c r="B38" s="54">
        <f>B36*0.22</f>
        <v>135656.4</v>
      </c>
      <c r="C38" s="54">
        <f t="shared" ref="C38:M38" si="6">C36*0.22</f>
        <v>133302.39999999999</v>
      </c>
      <c r="D38" s="54">
        <f t="shared" si="6"/>
        <v>127296.4</v>
      </c>
      <c r="E38" s="54">
        <f t="shared" si="6"/>
        <v>148152.4</v>
      </c>
      <c r="F38" s="54">
        <f t="shared" si="6"/>
        <v>144984.4</v>
      </c>
      <c r="G38" s="54">
        <f t="shared" si="6"/>
        <v>165994.4</v>
      </c>
      <c r="H38" s="54">
        <f t="shared" si="6"/>
        <v>174024.4</v>
      </c>
      <c r="I38" s="54">
        <f t="shared" si="6"/>
        <v>173364.4</v>
      </c>
      <c r="J38" s="54">
        <f t="shared" si="6"/>
        <v>177390.4</v>
      </c>
      <c r="K38" s="54">
        <f t="shared" si="6"/>
        <v>208872.4</v>
      </c>
      <c r="L38" s="54">
        <f t="shared" si="6"/>
        <v>218662.39999999999</v>
      </c>
      <c r="M38" s="54">
        <f t="shared" si="6"/>
        <v>236262.39999999999</v>
      </c>
      <c r="N38" s="54"/>
      <c r="O38" s="54">
        <f>SUM(B38:M38)</f>
        <v>2043962.7999999996</v>
      </c>
      <c r="P38" s="51" t="s">
        <v>88</v>
      </c>
      <c r="Q38" s="47"/>
    </row>
    <row r="39" spans="1:17" x14ac:dyDescent="0.25">
      <c r="A39" s="47" t="s">
        <v>85</v>
      </c>
      <c r="B39" s="54">
        <f>B36-B38</f>
        <v>480963.6</v>
      </c>
      <c r="C39" s="54">
        <f t="shared" ref="C39:M39" si="7">C36-C38</f>
        <v>472617.6</v>
      </c>
      <c r="D39" s="54">
        <f t="shared" si="7"/>
        <v>451323.6</v>
      </c>
      <c r="E39" s="54">
        <f t="shared" si="7"/>
        <v>525267.6</v>
      </c>
      <c r="F39" s="54">
        <f t="shared" si="7"/>
        <v>514035.6</v>
      </c>
      <c r="G39" s="54">
        <f t="shared" si="7"/>
        <v>588525.6</v>
      </c>
      <c r="H39" s="54">
        <f t="shared" si="7"/>
        <v>616995.6</v>
      </c>
      <c r="I39" s="54">
        <f t="shared" si="7"/>
        <v>614655.6</v>
      </c>
      <c r="J39" s="54">
        <f t="shared" si="7"/>
        <v>628929.6</v>
      </c>
      <c r="K39" s="54">
        <f t="shared" si="7"/>
        <v>740547.6</v>
      </c>
      <c r="L39" s="54">
        <f t="shared" si="7"/>
        <v>775257.59999999998</v>
      </c>
      <c r="M39" s="54">
        <f t="shared" si="7"/>
        <v>837657.59999999998</v>
      </c>
      <c r="N39" s="47"/>
      <c r="O39" s="54">
        <f>SUM(B39:N39)</f>
        <v>7246777.1999999983</v>
      </c>
      <c r="P39" s="51" t="s">
        <v>78</v>
      </c>
      <c r="Q39" s="55">
        <f>O39/O35</f>
        <v>0.58268356262412646</v>
      </c>
    </row>
    <row r="40" spans="1:17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9"/>
      <c r="Q40" s="47"/>
    </row>
    <row r="41" spans="1:17" x14ac:dyDescent="0.25">
      <c r="A41" s="47" t="s">
        <v>89</v>
      </c>
      <c r="B41" s="61">
        <f>B39*0.5</f>
        <v>240481.8</v>
      </c>
      <c r="C41" s="61">
        <f t="shared" ref="C41:M41" si="8">C39*0.5</f>
        <v>236308.8</v>
      </c>
      <c r="D41" s="61">
        <f t="shared" si="8"/>
        <v>225661.8</v>
      </c>
      <c r="E41" s="61">
        <f t="shared" si="8"/>
        <v>262633.8</v>
      </c>
      <c r="F41" s="61">
        <f t="shared" si="8"/>
        <v>257017.8</v>
      </c>
      <c r="G41" s="61">
        <f t="shared" si="8"/>
        <v>294262.8</v>
      </c>
      <c r="H41" s="61">
        <f t="shared" si="8"/>
        <v>308497.8</v>
      </c>
      <c r="I41" s="61">
        <f t="shared" si="8"/>
        <v>307327.8</v>
      </c>
      <c r="J41" s="61">
        <f t="shared" si="8"/>
        <v>314464.8</v>
      </c>
      <c r="K41" s="61">
        <f t="shared" si="8"/>
        <v>370273.8</v>
      </c>
      <c r="L41" s="61">
        <f t="shared" si="8"/>
        <v>387628.79999999999</v>
      </c>
      <c r="M41" s="61">
        <f t="shared" si="8"/>
        <v>418828.79999999999</v>
      </c>
      <c r="N41" s="60"/>
      <c r="O41" s="61">
        <f>SUM(B41:M41)</f>
        <v>3623388.5999999992</v>
      </c>
      <c r="P41" s="51" t="s">
        <v>91</v>
      </c>
      <c r="Q41" s="47"/>
    </row>
    <row r="42" spans="1:17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9"/>
      <c r="Q42" s="47"/>
    </row>
    <row r="43" spans="1:17" x14ac:dyDescent="0.25">
      <c r="A43" s="47" t="s">
        <v>90</v>
      </c>
      <c r="B43" s="56">
        <f>B39-B41</f>
        <v>240481.8</v>
      </c>
      <c r="C43" s="56">
        <f t="shared" ref="C43:M43" si="9">C39-C41</f>
        <v>236308.8</v>
      </c>
      <c r="D43" s="56">
        <f t="shared" si="9"/>
        <v>225661.8</v>
      </c>
      <c r="E43" s="56">
        <f t="shared" si="9"/>
        <v>262633.8</v>
      </c>
      <c r="F43" s="56">
        <f t="shared" si="9"/>
        <v>257017.8</v>
      </c>
      <c r="G43" s="56">
        <f t="shared" si="9"/>
        <v>294262.8</v>
      </c>
      <c r="H43" s="56">
        <f t="shared" si="9"/>
        <v>308497.8</v>
      </c>
      <c r="I43" s="56">
        <f t="shared" si="9"/>
        <v>307327.8</v>
      </c>
      <c r="J43" s="56">
        <f t="shared" si="9"/>
        <v>314464.8</v>
      </c>
      <c r="K43" s="56">
        <f t="shared" si="9"/>
        <v>370273.8</v>
      </c>
      <c r="L43" s="56">
        <f t="shared" si="9"/>
        <v>387628.79999999999</v>
      </c>
      <c r="M43" s="56">
        <f t="shared" si="9"/>
        <v>418828.79999999999</v>
      </c>
      <c r="N43" s="47"/>
      <c r="O43" s="56">
        <f>SUM(B43:N43)</f>
        <v>3623388.5999999992</v>
      </c>
      <c r="P43" s="51" t="s">
        <v>96</v>
      </c>
      <c r="Q43" s="47"/>
    </row>
    <row r="44" spans="1:17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9"/>
      <c r="Q44" s="47"/>
    </row>
    <row r="46" spans="1:17" x14ac:dyDescent="0.25">
      <c r="O46" s="59"/>
    </row>
    <row r="48" spans="1:17" x14ac:dyDescent="0.25">
      <c r="A48">
        <f>85000/2500000</f>
        <v>3.4000000000000002E-2</v>
      </c>
    </row>
  </sheetData>
  <mergeCells count="1">
    <mergeCell ref="A2:M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showGridLines="0" topLeftCell="A4" workbookViewId="0">
      <selection activeCell="A15" sqref="A15"/>
    </sheetView>
  </sheetViews>
  <sheetFormatPr defaultRowHeight="15" x14ac:dyDescent="0.25"/>
  <cols>
    <col min="1" max="1" width="24.5703125" customWidth="1"/>
    <col min="2" max="2" width="12.7109375" customWidth="1"/>
    <col min="3" max="14" width="11.28515625" customWidth="1"/>
    <col min="15" max="15" width="14" customWidth="1"/>
    <col min="16" max="16" width="24.5703125" style="23" customWidth="1"/>
  </cols>
  <sheetData>
    <row r="1" spans="1:15" x14ac:dyDescent="0.25">
      <c r="N1" s="43"/>
    </row>
    <row r="2" spans="1:15" ht="31.5" x14ac:dyDescent="0.25">
      <c r="A2" s="85" t="s">
        <v>147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69"/>
    </row>
    <row r="3" spans="1:15" x14ac:dyDescent="0.25">
      <c r="A3" s="4" t="s">
        <v>1</v>
      </c>
      <c r="B3" s="5" t="s">
        <v>118</v>
      </c>
      <c r="C3" s="5" t="s">
        <v>119</v>
      </c>
      <c r="D3" s="5" t="s">
        <v>120</v>
      </c>
      <c r="E3" s="5" t="s">
        <v>121</v>
      </c>
      <c r="F3" s="5" t="s">
        <v>122</v>
      </c>
      <c r="G3" s="5" t="s">
        <v>123</v>
      </c>
      <c r="H3" s="5" t="s">
        <v>124</v>
      </c>
      <c r="I3" s="5" t="s">
        <v>125</v>
      </c>
      <c r="J3" s="5" t="s">
        <v>126</v>
      </c>
      <c r="K3" s="5" t="s">
        <v>127</v>
      </c>
      <c r="L3" s="5" t="s">
        <v>128</v>
      </c>
      <c r="M3" s="5" t="s">
        <v>129</v>
      </c>
      <c r="N3" s="44"/>
    </row>
    <row r="4" spans="1:15" x14ac:dyDescent="0.25">
      <c r="A4" s="6" t="s">
        <v>42</v>
      </c>
      <c r="B4" s="24">
        <v>20000</v>
      </c>
      <c r="C4" s="24">
        <v>20000</v>
      </c>
      <c r="D4" s="24">
        <v>20000</v>
      </c>
      <c r="E4" s="24">
        <v>20000</v>
      </c>
      <c r="F4" s="24">
        <v>20000</v>
      </c>
      <c r="G4" s="24">
        <v>20000</v>
      </c>
      <c r="H4" s="24">
        <v>20000</v>
      </c>
      <c r="I4" s="24">
        <v>20000</v>
      </c>
      <c r="J4" s="24">
        <v>20000</v>
      </c>
      <c r="K4" s="24">
        <v>20000</v>
      </c>
      <c r="L4" s="24">
        <v>20000</v>
      </c>
      <c r="M4" s="24">
        <v>20000</v>
      </c>
      <c r="N4" s="45"/>
      <c r="O4" s="22">
        <f>SUM(B4:M4)</f>
        <v>240000</v>
      </c>
    </row>
    <row r="5" spans="1:15" x14ac:dyDescent="0.25">
      <c r="A5" s="6" t="s">
        <v>75</v>
      </c>
      <c r="B5" s="24">
        <v>16500</v>
      </c>
      <c r="C5" s="24">
        <v>16500</v>
      </c>
      <c r="D5" s="24">
        <v>16500</v>
      </c>
      <c r="E5" s="24">
        <v>16500</v>
      </c>
      <c r="F5" s="24">
        <v>16500</v>
      </c>
      <c r="G5" s="24">
        <v>16500</v>
      </c>
      <c r="H5" s="24">
        <v>16500</v>
      </c>
      <c r="I5" s="24">
        <v>16500</v>
      </c>
      <c r="J5" s="24">
        <v>16500</v>
      </c>
      <c r="K5" s="24">
        <v>16500</v>
      </c>
      <c r="L5" s="24">
        <v>16500</v>
      </c>
      <c r="M5" s="24">
        <v>16500</v>
      </c>
      <c r="N5" s="45"/>
      <c r="O5" s="22">
        <f>SUM(B5:M5)</f>
        <v>198000</v>
      </c>
    </row>
    <row r="6" spans="1:15" x14ac:dyDescent="0.25">
      <c r="A6" s="6" t="s">
        <v>37</v>
      </c>
      <c r="B6" s="24"/>
      <c r="C6" s="24">
        <v>15000</v>
      </c>
      <c r="D6" s="24">
        <v>25000</v>
      </c>
      <c r="E6" s="24"/>
      <c r="F6" s="24">
        <v>25000</v>
      </c>
      <c r="G6" s="24">
        <v>35000</v>
      </c>
      <c r="H6" s="24"/>
      <c r="I6" s="24">
        <v>40000</v>
      </c>
      <c r="J6" s="24">
        <v>30000</v>
      </c>
      <c r="K6" s="24">
        <v>25000</v>
      </c>
      <c r="L6" s="24">
        <v>20000</v>
      </c>
      <c r="M6" s="24"/>
      <c r="N6" s="45"/>
      <c r="O6" s="22">
        <f t="shared" ref="O6:O29" si="0">SUM(B6:M6)</f>
        <v>215000</v>
      </c>
    </row>
    <row r="7" spans="1:15" x14ac:dyDescent="0.25">
      <c r="A7" s="6" t="s">
        <v>131</v>
      </c>
      <c r="B7" s="24">
        <v>12000</v>
      </c>
      <c r="C7" s="24">
        <v>12000</v>
      </c>
      <c r="D7" s="24">
        <v>12000</v>
      </c>
      <c r="E7" s="24">
        <v>12000</v>
      </c>
      <c r="F7" s="24">
        <v>12000</v>
      </c>
      <c r="G7" s="24">
        <v>12000</v>
      </c>
      <c r="H7" s="24">
        <v>12000</v>
      </c>
      <c r="I7" s="24">
        <v>12000</v>
      </c>
      <c r="J7" s="24">
        <v>12000</v>
      </c>
      <c r="K7" s="24">
        <v>12000</v>
      </c>
      <c r="L7" s="24">
        <v>12000</v>
      </c>
      <c r="M7" s="24">
        <v>12000</v>
      </c>
      <c r="N7" s="45"/>
      <c r="O7" s="22">
        <f t="shared" si="0"/>
        <v>144000</v>
      </c>
    </row>
    <row r="8" spans="1:15" x14ac:dyDescent="0.25">
      <c r="A8" s="6" t="s">
        <v>94</v>
      </c>
      <c r="B8" s="24">
        <v>6500</v>
      </c>
      <c r="C8" s="24">
        <v>6500</v>
      </c>
      <c r="D8" s="24">
        <v>6500</v>
      </c>
      <c r="E8" s="24">
        <v>6500</v>
      </c>
      <c r="F8" s="24">
        <v>6500</v>
      </c>
      <c r="G8" s="24">
        <v>6500</v>
      </c>
      <c r="H8" s="24">
        <v>6500</v>
      </c>
      <c r="I8" s="24">
        <v>6500</v>
      </c>
      <c r="J8" s="24">
        <v>6500</v>
      </c>
      <c r="K8" s="24">
        <v>6500</v>
      </c>
      <c r="L8" s="24">
        <v>6500</v>
      </c>
      <c r="M8" s="24">
        <v>6500</v>
      </c>
      <c r="N8" s="45"/>
      <c r="O8" s="22">
        <f t="shared" si="0"/>
        <v>78000</v>
      </c>
    </row>
    <row r="9" spans="1:15" x14ac:dyDescent="0.25">
      <c r="A9" s="6" t="s">
        <v>43</v>
      </c>
      <c r="B9" s="24">
        <v>6500</v>
      </c>
      <c r="C9" s="24">
        <v>6500</v>
      </c>
      <c r="D9" s="24">
        <v>6500</v>
      </c>
      <c r="E9" s="24">
        <v>6500</v>
      </c>
      <c r="F9" s="24">
        <v>6500</v>
      </c>
      <c r="G9" s="24">
        <v>6500</v>
      </c>
      <c r="H9" s="24">
        <v>6500</v>
      </c>
      <c r="I9" s="24">
        <v>6500</v>
      </c>
      <c r="J9" s="24">
        <v>6500</v>
      </c>
      <c r="K9" s="24">
        <v>6500</v>
      </c>
      <c r="L9" s="24">
        <v>6500</v>
      </c>
      <c r="M9" s="24">
        <v>6500</v>
      </c>
      <c r="N9" s="45"/>
      <c r="O9" s="22">
        <f t="shared" si="0"/>
        <v>78000</v>
      </c>
    </row>
    <row r="10" spans="1:15" x14ac:dyDescent="0.25">
      <c r="A10" s="6" t="s">
        <v>130</v>
      </c>
      <c r="B10" s="24">
        <v>7900</v>
      </c>
      <c r="C10" s="24">
        <v>7900</v>
      </c>
      <c r="D10" s="24">
        <v>7900</v>
      </c>
      <c r="E10" s="24">
        <v>7900</v>
      </c>
      <c r="F10" s="24">
        <v>7900</v>
      </c>
      <c r="G10" s="24">
        <v>7900</v>
      </c>
      <c r="H10" s="24">
        <v>7900</v>
      </c>
      <c r="I10" s="24">
        <v>7900</v>
      </c>
      <c r="J10" s="24">
        <v>7900</v>
      </c>
      <c r="K10" s="24">
        <v>7900</v>
      </c>
      <c r="L10" s="24">
        <v>7900</v>
      </c>
      <c r="M10" s="24">
        <v>7900</v>
      </c>
      <c r="N10" s="45"/>
      <c r="O10" s="22">
        <f t="shared" si="0"/>
        <v>94800</v>
      </c>
    </row>
    <row r="11" spans="1:15" x14ac:dyDescent="0.25">
      <c r="A11" s="6" t="s">
        <v>149</v>
      </c>
      <c r="B11" s="24">
        <v>7000</v>
      </c>
      <c r="C11" s="24">
        <v>7000</v>
      </c>
      <c r="D11" s="24">
        <v>7000</v>
      </c>
      <c r="E11" s="24">
        <v>7000</v>
      </c>
      <c r="F11" s="24">
        <v>7000</v>
      </c>
      <c r="G11" s="24">
        <v>7000</v>
      </c>
      <c r="H11" s="24">
        <v>7000</v>
      </c>
      <c r="I11" s="24">
        <v>7000</v>
      </c>
      <c r="J11" s="24">
        <v>7000</v>
      </c>
      <c r="K11" s="24">
        <v>7000</v>
      </c>
      <c r="L11" s="24">
        <v>7000</v>
      </c>
      <c r="M11" s="24">
        <v>7000</v>
      </c>
      <c r="N11" s="45"/>
      <c r="O11" s="22">
        <f t="shared" si="0"/>
        <v>84000</v>
      </c>
    </row>
    <row r="12" spans="1:15" x14ac:dyDescent="0.25">
      <c r="A12" s="6" t="s">
        <v>45</v>
      </c>
      <c r="B12" s="24">
        <v>12000</v>
      </c>
      <c r="C12" s="24">
        <v>12000</v>
      </c>
      <c r="D12" s="24">
        <v>12000</v>
      </c>
      <c r="E12" s="24">
        <v>12000</v>
      </c>
      <c r="F12" s="24">
        <v>12000</v>
      </c>
      <c r="G12" s="24">
        <v>12000</v>
      </c>
      <c r="H12" s="24">
        <v>12000</v>
      </c>
      <c r="I12" s="24">
        <v>12000</v>
      </c>
      <c r="J12" s="24">
        <v>12000</v>
      </c>
      <c r="K12" s="24">
        <v>12000</v>
      </c>
      <c r="L12" s="24">
        <v>12000</v>
      </c>
      <c r="M12" s="24">
        <v>12000</v>
      </c>
      <c r="N12" s="45"/>
      <c r="O12" s="22">
        <f t="shared" si="0"/>
        <v>144000</v>
      </c>
    </row>
    <row r="13" spans="1:15" x14ac:dyDescent="0.25">
      <c r="A13" s="6" t="s">
        <v>49</v>
      </c>
      <c r="B13" s="24">
        <v>6000</v>
      </c>
      <c r="C13" s="24">
        <v>6000</v>
      </c>
      <c r="D13" s="24">
        <v>6000</v>
      </c>
      <c r="E13" s="24">
        <v>6000</v>
      </c>
      <c r="F13" s="24">
        <v>6000</v>
      </c>
      <c r="G13" s="24">
        <v>6000</v>
      </c>
      <c r="H13" s="24">
        <v>6000</v>
      </c>
      <c r="I13" s="24">
        <v>6000</v>
      </c>
      <c r="J13" s="24">
        <v>6000</v>
      </c>
      <c r="K13" s="24">
        <v>6000</v>
      </c>
      <c r="L13" s="24">
        <v>6000</v>
      </c>
      <c r="M13" s="24">
        <v>6000</v>
      </c>
      <c r="N13" s="45"/>
      <c r="O13" s="22">
        <f t="shared" si="0"/>
        <v>72000</v>
      </c>
    </row>
    <row r="14" spans="1:15" x14ac:dyDescent="0.25">
      <c r="A14" s="6" t="s">
        <v>150</v>
      </c>
      <c r="B14" s="24">
        <v>13000</v>
      </c>
      <c r="C14" s="24">
        <v>13000</v>
      </c>
      <c r="D14" s="24">
        <v>13000</v>
      </c>
      <c r="E14" s="24">
        <v>13000</v>
      </c>
      <c r="F14" s="24">
        <v>13000</v>
      </c>
      <c r="G14" s="24">
        <v>13000</v>
      </c>
      <c r="H14" s="24">
        <v>13000</v>
      </c>
      <c r="I14" s="24">
        <v>13000</v>
      </c>
      <c r="J14" s="24">
        <v>13000</v>
      </c>
      <c r="K14" s="24">
        <v>13000</v>
      </c>
      <c r="L14" s="24">
        <v>13000</v>
      </c>
      <c r="M14" s="24">
        <v>13000</v>
      </c>
      <c r="N14" s="45"/>
      <c r="O14" s="22">
        <f t="shared" si="0"/>
        <v>156000</v>
      </c>
    </row>
    <row r="15" spans="1:15" x14ac:dyDescent="0.25">
      <c r="A15" s="6" t="s">
        <v>153</v>
      </c>
      <c r="B15" s="24">
        <v>7300</v>
      </c>
      <c r="C15" s="24">
        <v>7300</v>
      </c>
      <c r="D15" s="24">
        <v>7300</v>
      </c>
      <c r="E15" s="24">
        <v>7300</v>
      </c>
      <c r="F15" s="24">
        <v>7300</v>
      </c>
      <c r="G15" s="24">
        <v>7300</v>
      </c>
      <c r="H15" s="24">
        <v>7300</v>
      </c>
      <c r="I15" s="24">
        <v>7300</v>
      </c>
      <c r="J15" s="24">
        <v>7300</v>
      </c>
      <c r="K15" s="24">
        <v>7300</v>
      </c>
      <c r="L15" s="24">
        <v>7300</v>
      </c>
      <c r="M15" s="24">
        <v>7300</v>
      </c>
      <c r="N15" s="45"/>
      <c r="O15" s="22">
        <f t="shared" si="0"/>
        <v>87600</v>
      </c>
    </row>
    <row r="16" spans="1:15" x14ac:dyDescent="0.25">
      <c r="A16" s="6" t="s">
        <v>50</v>
      </c>
      <c r="B16" s="24">
        <v>6500</v>
      </c>
      <c r="C16" s="24">
        <v>6500</v>
      </c>
      <c r="D16" s="24">
        <v>6500</v>
      </c>
      <c r="E16" s="24">
        <v>6500</v>
      </c>
      <c r="F16" s="24">
        <v>6500</v>
      </c>
      <c r="G16" s="24">
        <v>6500</v>
      </c>
      <c r="H16" s="24">
        <v>6500</v>
      </c>
      <c r="I16" s="24">
        <v>6500</v>
      </c>
      <c r="J16" s="24">
        <v>6500</v>
      </c>
      <c r="K16" s="24">
        <v>6500</v>
      </c>
      <c r="L16" s="24">
        <v>6500</v>
      </c>
      <c r="M16" s="24">
        <v>6500</v>
      </c>
      <c r="N16" s="45"/>
      <c r="O16" s="22">
        <f t="shared" si="0"/>
        <v>78000</v>
      </c>
    </row>
    <row r="17" spans="1:15" x14ac:dyDescent="0.25">
      <c r="A17" s="6" t="s">
        <v>151</v>
      </c>
      <c r="B17" s="24">
        <v>4500</v>
      </c>
      <c r="C17" s="24">
        <v>4500</v>
      </c>
      <c r="D17" s="24">
        <v>4500</v>
      </c>
      <c r="E17" s="24">
        <v>4500</v>
      </c>
      <c r="F17" s="24">
        <v>4500</v>
      </c>
      <c r="G17" s="24">
        <v>4500</v>
      </c>
      <c r="H17" s="24">
        <v>4500</v>
      </c>
      <c r="I17" s="24">
        <v>4500</v>
      </c>
      <c r="J17" s="24">
        <v>4500</v>
      </c>
      <c r="K17" s="24">
        <v>4500</v>
      </c>
      <c r="L17" s="24">
        <v>4500</v>
      </c>
      <c r="M17" s="24">
        <v>4500</v>
      </c>
      <c r="N17" s="45"/>
      <c r="O17" s="22">
        <f t="shared" si="0"/>
        <v>54000</v>
      </c>
    </row>
    <row r="18" spans="1:15" x14ac:dyDescent="0.25">
      <c r="A18" s="6" t="s">
        <v>51</v>
      </c>
      <c r="B18" s="24">
        <v>3500</v>
      </c>
      <c r="C18" s="24">
        <v>3500</v>
      </c>
      <c r="D18" s="24">
        <v>3500</v>
      </c>
      <c r="E18" s="24">
        <v>3500</v>
      </c>
      <c r="F18" s="24">
        <v>3500</v>
      </c>
      <c r="G18" s="24">
        <v>3500</v>
      </c>
      <c r="H18" s="24">
        <v>3500</v>
      </c>
      <c r="I18" s="24">
        <v>3500</v>
      </c>
      <c r="J18" s="24">
        <v>3500</v>
      </c>
      <c r="K18" s="24">
        <v>3500</v>
      </c>
      <c r="L18" s="24">
        <v>3500</v>
      </c>
      <c r="M18" s="24">
        <v>3500</v>
      </c>
      <c r="N18" s="45"/>
      <c r="O18" s="22">
        <f t="shared" si="0"/>
        <v>42000</v>
      </c>
    </row>
    <row r="19" spans="1:15" x14ac:dyDescent="0.25">
      <c r="A19" s="31" t="s">
        <v>59</v>
      </c>
      <c r="B19" s="33">
        <v>2700</v>
      </c>
      <c r="C19" s="33">
        <v>2700</v>
      </c>
      <c r="D19" s="33">
        <v>2700</v>
      </c>
      <c r="E19" s="33">
        <v>2700</v>
      </c>
      <c r="F19" s="33">
        <v>2700</v>
      </c>
      <c r="G19" s="33">
        <v>2700</v>
      </c>
      <c r="H19" s="33">
        <v>2700</v>
      </c>
      <c r="I19" s="33">
        <v>2700</v>
      </c>
      <c r="J19" s="33">
        <v>2700</v>
      </c>
      <c r="K19" s="33">
        <v>2700</v>
      </c>
      <c r="L19" s="33">
        <v>2700</v>
      </c>
      <c r="M19" s="33">
        <v>2700</v>
      </c>
      <c r="N19" s="45"/>
      <c r="O19" s="22">
        <f t="shared" si="0"/>
        <v>32400</v>
      </c>
    </row>
    <row r="20" spans="1:15" x14ac:dyDescent="0.25">
      <c r="A20" s="1" t="s">
        <v>38</v>
      </c>
      <c r="B20" s="12">
        <v>12000</v>
      </c>
      <c r="C20" s="12">
        <v>12000</v>
      </c>
      <c r="D20" s="12">
        <v>12000</v>
      </c>
      <c r="E20" s="12">
        <v>12000</v>
      </c>
      <c r="F20" s="12">
        <v>12000</v>
      </c>
      <c r="G20" s="12">
        <v>12000</v>
      </c>
      <c r="H20" s="12">
        <v>12000</v>
      </c>
      <c r="I20" s="12">
        <v>12000</v>
      </c>
      <c r="J20" s="12">
        <v>12000</v>
      </c>
      <c r="K20" s="12">
        <v>12000</v>
      </c>
      <c r="L20" s="12">
        <v>12000</v>
      </c>
      <c r="M20" s="12">
        <v>12000</v>
      </c>
      <c r="N20" s="45"/>
      <c r="O20" s="22">
        <f t="shared" si="0"/>
        <v>144000</v>
      </c>
    </row>
    <row r="21" spans="1:15" x14ac:dyDescent="0.25">
      <c r="A21" s="1" t="s">
        <v>44</v>
      </c>
      <c r="B21" s="12">
        <v>20000</v>
      </c>
      <c r="C21" s="12">
        <v>20000</v>
      </c>
      <c r="D21" s="12">
        <v>20000</v>
      </c>
      <c r="E21" s="12">
        <v>20000</v>
      </c>
      <c r="F21" s="12">
        <v>20000</v>
      </c>
      <c r="G21" s="12">
        <v>85000</v>
      </c>
      <c r="H21" s="12">
        <v>15000</v>
      </c>
      <c r="I21" s="12">
        <v>15000</v>
      </c>
      <c r="J21" s="12">
        <v>55000</v>
      </c>
      <c r="K21" s="12">
        <v>10000</v>
      </c>
      <c r="L21" s="12">
        <v>10000</v>
      </c>
      <c r="M21" s="12">
        <v>10000</v>
      </c>
      <c r="N21" s="45"/>
      <c r="O21" s="22">
        <f t="shared" si="0"/>
        <v>300000</v>
      </c>
    </row>
    <row r="22" spans="1:15" x14ac:dyDescent="0.25">
      <c r="A22" s="1" t="s">
        <v>58</v>
      </c>
      <c r="B22" s="12">
        <v>2500</v>
      </c>
      <c r="C22" s="12">
        <v>3500</v>
      </c>
      <c r="D22" s="12">
        <v>2500</v>
      </c>
      <c r="E22" s="12">
        <v>1200</v>
      </c>
      <c r="F22" s="12">
        <v>3000</v>
      </c>
      <c r="G22" s="12">
        <v>3500</v>
      </c>
      <c r="H22" s="12">
        <v>2500</v>
      </c>
      <c r="I22" s="12">
        <v>1200</v>
      </c>
      <c r="J22" s="12">
        <v>3500</v>
      </c>
      <c r="K22" s="12">
        <v>1200</v>
      </c>
      <c r="L22" s="12">
        <v>2500</v>
      </c>
      <c r="M22" s="12">
        <v>0</v>
      </c>
      <c r="N22" s="45"/>
      <c r="O22" s="22">
        <f t="shared" si="0"/>
        <v>27100</v>
      </c>
    </row>
    <row r="23" spans="1:15" x14ac:dyDescent="0.25">
      <c r="A23" s="1" t="s">
        <v>46</v>
      </c>
      <c r="B23" s="12">
        <v>20000</v>
      </c>
      <c r="C23" s="12">
        <v>20000</v>
      </c>
      <c r="D23" s="12">
        <v>20000</v>
      </c>
      <c r="E23" s="12">
        <v>20000</v>
      </c>
      <c r="F23" s="12">
        <v>20000</v>
      </c>
      <c r="G23" s="12">
        <v>20000</v>
      </c>
      <c r="H23" s="12">
        <v>20000</v>
      </c>
      <c r="I23" s="12">
        <v>20000</v>
      </c>
      <c r="J23" s="12">
        <v>20000</v>
      </c>
      <c r="K23" s="12">
        <v>20000</v>
      </c>
      <c r="L23" s="12">
        <v>20000</v>
      </c>
      <c r="M23" s="12">
        <v>20000</v>
      </c>
      <c r="N23" s="45"/>
      <c r="O23" s="22">
        <f t="shared" si="0"/>
        <v>240000</v>
      </c>
    </row>
    <row r="24" spans="1:15" x14ac:dyDescent="0.25">
      <c r="A24" s="1" t="s">
        <v>148</v>
      </c>
      <c r="B24" s="12">
        <v>18000</v>
      </c>
      <c r="C24" s="12">
        <v>18000</v>
      </c>
      <c r="D24" s="12">
        <v>18000</v>
      </c>
      <c r="E24" s="12">
        <v>18000</v>
      </c>
      <c r="F24" s="12">
        <v>18000</v>
      </c>
      <c r="G24" s="12">
        <v>18000</v>
      </c>
      <c r="H24" s="12">
        <v>18000</v>
      </c>
      <c r="I24" s="12">
        <v>18000</v>
      </c>
      <c r="J24" s="12">
        <v>18000</v>
      </c>
      <c r="K24" s="12">
        <v>18000</v>
      </c>
      <c r="L24" s="12">
        <v>18000</v>
      </c>
      <c r="M24" s="12">
        <v>18000</v>
      </c>
      <c r="N24" s="45"/>
      <c r="O24" s="22">
        <f t="shared" si="0"/>
        <v>216000</v>
      </c>
    </row>
    <row r="25" spans="1:15" x14ac:dyDescent="0.25">
      <c r="A25" s="1" t="s">
        <v>74</v>
      </c>
      <c r="B25" s="12">
        <v>2500</v>
      </c>
      <c r="C25" s="12">
        <v>3000</v>
      </c>
      <c r="D25" s="12"/>
      <c r="E25" s="12">
        <v>5000</v>
      </c>
      <c r="F25" s="12">
        <v>3000</v>
      </c>
      <c r="G25" s="12">
        <v>5000</v>
      </c>
      <c r="H25" s="12">
        <v>3000</v>
      </c>
      <c r="I25" s="12"/>
      <c r="J25" s="12">
        <v>3000</v>
      </c>
      <c r="K25" s="12">
        <v>5000</v>
      </c>
      <c r="L25" s="12"/>
      <c r="M25" s="12">
        <v>2000</v>
      </c>
      <c r="N25" s="45"/>
      <c r="O25" s="22">
        <f>SUM(B25:M25)</f>
        <v>31500</v>
      </c>
    </row>
    <row r="26" spans="1:15" x14ac:dyDescent="0.25">
      <c r="A26" s="1" t="s">
        <v>40</v>
      </c>
      <c r="B26" s="12">
        <v>5500</v>
      </c>
      <c r="C26" s="12"/>
      <c r="D26" s="12"/>
      <c r="E26" s="12">
        <v>2500</v>
      </c>
      <c r="F26" s="12">
        <v>10000</v>
      </c>
      <c r="G26" s="12">
        <v>1200</v>
      </c>
      <c r="H26" s="12"/>
      <c r="I26" s="12">
        <v>4500</v>
      </c>
      <c r="J26" s="12"/>
      <c r="K26" s="12">
        <v>6500</v>
      </c>
      <c r="L26" s="12">
        <v>4500</v>
      </c>
      <c r="M26" s="12"/>
      <c r="N26" s="45"/>
      <c r="O26" s="22">
        <f t="shared" si="0"/>
        <v>34700</v>
      </c>
    </row>
    <row r="27" spans="1:15" x14ac:dyDescent="0.25">
      <c r="A27" s="1" t="s">
        <v>22</v>
      </c>
      <c r="B27" s="12">
        <f>(B4+B5+B6+B7+B8+B9+B10+B19+B17+B11+B12+B14+B13+B15+B16+B18)*0.2</f>
        <v>26380</v>
      </c>
      <c r="C27" s="12">
        <f t="shared" ref="C27:M27" si="1">(C4+C5+C6+C7+C8+C9+C10+C19+C17+C11+C12+C14+C13+C15+C16+C18)*0.2</f>
        <v>29380</v>
      </c>
      <c r="D27" s="12">
        <f t="shared" si="1"/>
        <v>31380</v>
      </c>
      <c r="E27" s="12">
        <f t="shared" si="1"/>
        <v>26380</v>
      </c>
      <c r="F27" s="12">
        <f t="shared" si="1"/>
        <v>31380</v>
      </c>
      <c r="G27" s="12">
        <f t="shared" si="1"/>
        <v>33380</v>
      </c>
      <c r="H27" s="12">
        <f t="shared" si="1"/>
        <v>26380</v>
      </c>
      <c r="I27" s="12">
        <f t="shared" si="1"/>
        <v>34380</v>
      </c>
      <c r="J27" s="12">
        <f t="shared" si="1"/>
        <v>32380</v>
      </c>
      <c r="K27" s="12">
        <f t="shared" si="1"/>
        <v>31380</v>
      </c>
      <c r="L27" s="12">
        <f t="shared" si="1"/>
        <v>30380</v>
      </c>
      <c r="M27" s="12">
        <f t="shared" si="1"/>
        <v>26380</v>
      </c>
      <c r="N27" s="45"/>
      <c r="O27" s="22">
        <f t="shared" si="0"/>
        <v>359560</v>
      </c>
    </row>
    <row r="28" spans="1:15" x14ac:dyDescent="0.25">
      <c r="A28" s="1" t="s">
        <v>52</v>
      </c>
      <c r="B28" s="12">
        <f>B27*0.5</f>
        <v>13190</v>
      </c>
      <c r="C28" s="12">
        <f t="shared" ref="C28:M28" si="2">C27*0.5</f>
        <v>14690</v>
      </c>
      <c r="D28" s="12">
        <f t="shared" si="2"/>
        <v>15690</v>
      </c>
      <c r="E28" s="12">
        <f t="shared" si="2"/>
        <v>13190</v>
      </c>
      <c r="F28" s="12">
        <f t="shared" si="2"/>
        <v>15690</v>
      </c>
      <c r="G28" s="12">
        <f t="shared" si="2"/>
        <v>16690</v>
      </c>
      <c r="H28" s="12">
        <f t="shared" si="2"/>
        <v>13190</v>
      </c>
      <c r="I28" s="12">
        <f t="shared" si="2"/>
        <v>17190</v>
      </c>
      <c r="J28" s="12">
        <f t="shared" si="2"/>
        <v>16190</v>
      </c>
      <c r="K28" s="12">
        <f t="shared" si="2"/>
        <v>15690</v>
      </c>
      <c r="L28" s="12">
        <f t="shared" si="2"/>
        <v>15190</v>
      </c>
      <c r="M28" s="12">
        <f t="shared" si="2"/>
        <v>13190</v>
      </c>
      <c r="N28" s="45"/>
      <c r="O28" s="22">
        <f t="shared" si="0"/>
        <v>179780</v>
      </c>
    </row>
    <row r="29" spans="1:15" x14ac:dyDescent="0.25">
      <c r="A29" s="1" t="s">
        <v>57</v>
      </c>
      <c r="B29" s="12">
        <v>5000</v>
      </c>
      <c r="C29" s="12">
        <v>4500</v>
      </c>
      <c r="D29" s="12">
        <v>15000</v>
      </c>
      <c r="E29" s="12">
        <v>25000</v>
      </c>
      <c r="F29" s="12">
        <v>25000</v>
      </c>
      <c r="G29" s="12">
        <v>25000</v>
      </c>
      <c r="H29" s="12">
        <v>25000</v>
      </c>
      <c r="I29" s="12">
        <v>25000</v>
      </c>
      <c r="J29" s="12">
        <v>25000</v>
      </c>
      <c r="K29" s="12">
        <v>25000</v>
      </c>
      <c r="L29" s="12">
        <v>25000</v>
      </c>
      <c r="M29" s="12">
        <v>25000</v>
      </c>
      <c r="N29" s="45"/>
      <c r="O29" s="22">
        <f t="shared" si="0"/>
        <v>249500</v>
      </c>
    </row>
    <row r="30" spans="1:15" ht="15.75" thickBot="1" x14ac:dyDescent="0.3">
      <c r="A30" s="1" t="s">
        <v>48</v>
      </c>
      <c r="B30" s="25">
        <v>2500</v>
      </c>
      <c r="C30" s="25">
        <v>2500</v>
      </c>
      <c r="D30" s="25">
        <v>2500</v>
      </c>
      <c r="E30" s="25">
        <v>2500</v>
      </c>
      <c r="F30" s="25">
        <v>2500</v>
      </c>
      <c r="G30" s="25">
        <v>2500</v>
      </c>
      <c r="H30" s="25">
        <v>2500</v>
      </c>
      <c r="I30" s="25">
        <v>2500</v>
      </c>
      <c r="J30" s="25">
        <v>2500</v>
      </c>
      <c r="K30" s="25">
        <v>2500</v>
      </c>
      <c r="L30" s="25">
        <v>2500</v>
      </c>
      <c r="M30" s="25">
        <v>2500</v>
      </c>
      <c r="N30" s="45"/>
      <c r="O30" s="22">
        <f>SUM(B30:M30)</f>
        <v>30000</v>
      </c>
    </row>
    <row r="31" spans="1:15" x14ac:dyDescent="0.25">
      <c r="A31" s="21" t="s">
        <v>73</v>
      </c>
      <c r="B31" s="26">
        <f t="shared" ref="B31:M31" si="3">SUM(B4:B30)</f>
        <v>259470</v>
      </c>
      <c r="C31" s="26">
        <f t="shared" si="3"/>
        <v>274470</v>
      </c>
      <c r="D31" s="26">
        <f t="shared" si="3"/>
        <v>293970</v>
      </c>
      <c r="E31" s="26">
        <f t="shared" si="3"/>
        <v>277670</v>
      </c>
      <c r="F31" s="26">
        <f t="shared" si="3"/>
        <v>317470</v>
      </c>
      <c r="G31" s="26">
        <f t="shared" si="3"/>
        <v>389170</v>
      </c>
      <c r="H31" s="26">
        <f t="shared" si="3"/>
        <v>269470</v>
      </c>
      <c r="I31" s="26">
        <f t="shared" si="3"/>
        <v>321670</v>
      </c>
      <c r="J31" s="26">
        <f t="shared" si="3"/>
        <v>349470</v>
      </c>
      <c r="K31" s="26">
        <f t="shared" si="3"/>
        <v>304170</v>
      </c>
      <c r="L31" s="26">
        <f t="shared" si="3"/>
        <v>291970</v>
      </c>
      <c r="M31" s="26">
        <f t="shared" si="3"/>
        <v>260970</v>
      </c>
      <c r="N31" s="45"/>
      <c r="O31" s="23">
        <f>SUM(O4:O30)</f>
        <v>3609940</v>
      </c>
    </row>
    <row r="33" spans="1:17" x14ac:dyDescent="0.25">
      <c r="N33" s="46"/>
      <c r="O33" s="3"/>
    </row>
    <row r="34" spans="1:17" x14ac:dyDescent="0.25">
      <c r="A34" s="47" t="s">
        <v>55</v>
      </c>
      <c r="B34" s="48">
        <v>85000</v>
      </c>
      <c r="C34" s="48">
        <v>85000</v>
      </c>
      <c r="D34" s="48">
        <v>85000</v>
      </c>
      <c r="E34" s="48">
        <v>90000</v>
      </c>
      <c r="F34" s="48">
        <v>90000</v>
      </c>
      <c r="G34" s="48">
        <v>100000</v>
      </c>
      <c r="H34" s="48">
        <v>100000</v>
      </c>
      <c r="I34" s="48">
        <v>110000</v>
      </c>
      <c r="J34" s="48">
        <v>110000</v>
      </c>
      <c r="K34" s="48">
        <v>110000</v>
      </c>
      <c r="L34" s="48">
        <v>115000</v>
      </c>
      <c r="M34" s="48">
        <v>120000</v>
      </c>
      <c r="N34" s="48"/>
      <c r="O34" s="47"/>
      <c r="P34" s="49"/>
      <c r="Q34" s="47"/>
    </row>
    <row r="35" spans="1:1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9"/>
      <c r="Q35" s="47"/>
    </row>
    <row r="36" spans="1:17" x14ac:dyDescent="0.25">
      <c r="A36" s="47" t="s">
        <v>54</v>
      </c>
      <c r="B36" s="49">
        <f t="shared" ref="B36:M36" si="4">B34*15.26</f>
        <v>1297100</v>
      </c>
      <c r="C36" s="49">
        <f t="shared" si="4"/>
        <v>1297100</v>
      </c>
      <c r="D36" s="49">
        <f t="shared" si="4"/>
        <v>1297100</v>
      </c>
      <c r="E36" s="49">
        <f t="shared" si="4"/>
        <v>1373400</v>
      </c>
      <c r="F36" s="49">
        <f t="shared" si="4"/>
        <v>1373400</v>
      </c>
      <c r="G36" s="49">
        <f t="shared" si="4"/>
        <v>1526000</v>
      </c>
      <c r="H36" s="49">
        <f t="shared" si="4"/>
        <v>1526000</v>
      </c>
      <c r="I36" s="49">
        <f t="shared" si="4"/>
        <v>1678600</v>
      </c>
      <c r="J36" s="49">
        <f t="shared" si="4"/>
        <v>1678600</v>
      </c>
      <c r="K36" s="49">
        <f t="shared" si="4"/>
        <v>1678600</v>
      </c>
      <c r="L36" s="49">
        <f t="shared" si="4"/>
        <v>1754900</v>
      </c>
      <c r="M36" s="49">
        <f t="shared" si="4"/>
        <v>1831200</v>
      </c>
      <c r="N36" s="49"/>
      <c r="O36" s="50">
        <f>SUM(B36:N36)</f>
        <v>18312000</v>
      </c>
      <c r="P36" s="51" t="s">
        <v>86</v>
      </c>
      <c r="Q36" s="47"/>
    </row>
    <row r="37" spans="1:17" x14ac:dyDescent="0.25">
      <c r="A37" s="47" t="s">
        <v>83</v>
      </c>
      <c r="B37" s="52">
        <f>B36-B31</f>
        <v>1037630</v>
      </c>
      <c r="C37" s="52">
        <f>C36-C31</f>
        <v>1022630</v>
      </c>
      <c r="D37" s="52">
        <f t="shared" ref="D37:M37" si="5">D36-D31</f>
        <v>1003130</v>
      </c>
      <c r="E37" s="52">
        <f t="shared" si="5"/>
        <v>1095730</v>
      </c>
      <c r="F37" s="52">
        <f t="shared" si="5"/>
        <v>1055930</v>
      </c>
      <c r="G37" s="53">
        <f t="shared" si="5"/>
        <v>1136830</v>
      </c>
      <c r="H37" s="53">
        <f t="shared" si="5"/>
        <v>1256530</v>
      </c>
      <c r="I37" s="53">
        <f t="shared" si="5"/>
        <v>1356930</v>
      </c>
      <c r="J37" s="53">
        <f t="shared" si="5"/>
        <v>1329130</v>
      </c>
      <c r="K37" s="53">
        <f t="shared" si="5"/>
        <v>1374430</v>
      </c>
      <c r="L37" s="53">
        <f t="shared" si="5"/>
        <v>1462930</v>
      </c>
      <c r="M37" s="53">
        <f t="shared" si="5"/>
        <v>1570230</v>
      </c>
      <c r="N37" s="53"/>
      <c r="O37" s="50">
        <f>SUM(B37:N37)</f>
        <v>14702060</v>
      </c>
      <c r="P37" s="51" t="s">
        <v>87</v>
      </c>
      <c r="Q37" s="47"/>
    </row>
    <row r="38" spans="1:17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51"/>
      <c r="Q38" s="47"/>
    </row>
    <row r="39" spans="1:17" x14ac:dyDescent="0.25">
      <c r="A39" s="47" t="s">
        <v>84</v>
      </c>
      <c r="B39" s="54">
        <f>B37*0.22</f>
        <v>228278.6</v>
      </c>
      <c r="C39" s="54">
        <f t="shared" ref="C39:M39" si="6">C37*0.22</f>
        <v>224978.6</v>
      </c>
      <c r="D39" s="54">
        <f t="shared" si="6"/>
        <v>220688.6</v>
      </c>
      <c r="E39" s="54">
        <f t="shared" si="6"/>
        <v>241060.6</v>
      </c>
      <c r="F39" s="54">
        <f t="shared" si="6"/>
        <v>232304.6</v>
      </c>
      <c r="G39" s="54">
        <f t="shared" si="6"/>
        <v>250102.6</v>
      </c>
      <c r="H39" s="54">
        <f t="shared" si="6"/>
        <v>276436.59999999998</v>
      </c>
      <c r="I39" s="54">
        <f t="shared" si="6"/>
        <v>298524.59999999998</v>
      </c>
      <c r="J39" s="54">
        <f t="shared" si="6"/>
        <v>292408.59999999998</v>
      </c>
      <c r="K39" s="54">
        <f t="shared" si="6"/>
        <v>302374.59999999998</v>
      </c>
      <c r="L39" s="54">
        <f t="shared" si="6"/>
        <v>321844.59999999998</v>
      </c>
      <c r="M39" s="54">
        <f t="shared" si="6"/>
        <v>345450.6</v>
      </c>
      <c r="N39" s="54"/>
      <c r="O39" s="54">
        <f>SUM(B39:M39)</f>
        <v>3234453.2000000007</v>
      </c>
      <c r="P39" s="51" t="s">
        <v>88</v>
      </c>
      <c r="Q39" s="47"/>
    </row>
    <row r="40" spans="1:17" x14ac:dyDescent="0.25">
      <c r="A40" s="47" t="s">
        <v>85</v>
      </c>
      <c r="B40" s="54">
        <f>B37-B39</f>
        <v>809351.4</v>
      </c>
      <c r="C40" s="54">
        <f t="shared" ref="C40:M40" si="7">C37-C39</f>
        <v>797651.4</v>
      </c>
      <c r="D40" s="54">
        <f t="shared" si="7"/>
        <v>782441.4</v>
      </c>
      <c r="E40" s="54">
        <f t="shared" si="7"/>
        <v>854669.4</v>
      </c>
      <c r="F40" s="54">
        <f t="shared" si="7"/>
        <v>823625.4</v>
      </c>
      <c r="G40" s="54">
        <f t="shared" si="7"/>
        <v>886727.4</v>
      </c>
      <c r="H40" s="54">
        <f t="shared" si="7"/>
        <v>980093.4</v>
      </c>
      <c r="I40" s="54">
        <f t="shared" si="7"/>
        <v>1058405.3999999999</v>
      </c>
      <c r="J40" s="54">
        <f t="shared" si="7"/>
        <v>1036721.4</v>
      </c>
      <c r="K40" s="54">
        <f t="shared" si="7"/>
        <v>1072055.3999999999</v>
      </c>
      <c r="L40" s="54">
        <f t="shared" si="7"/>
        <v>1141085.3999999999</v>
      </c>
      <c r="M40" s="54">
        <f t="shared" si="7"/>
        <v>1224779.3999999999</v>
      </c>
      <c r="N40" s="47"/>
      <c r="O40" s="54">
        <f>SUM(B40:N40)</f>
        <v>11467606.800000003</v>
      </c>
      <c r="P40" s="51" t="s">
        <v>78</v>
      </c>
      <c r="Q40" s="55">
        <f>O40/O36</f>
        <v>0.62623453473132384</v>
      </c>
    </row>
    <row r="41" spans="1:17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9"/>
      <c r="Q41" s="47"/>
    </row>
    <row r="42" spans="1:17" x14ac:dyDescent="0.25">
      <c r="A42" s="47" t="s">
        <v>89</v>
      </c>
      <c r="B42" s="61">
        <f>B40*0.5</f>
        <v>404675.7</v>
      </c>
      <c r="C42" s="61">
        <f t="shared" ref="C42:M42" si="8">C40*0.5</f>
        <v>398825.7</v>
      </c>
      <c r="D42" s="61">
        <f t="shared" si="8"/>
        <v>391220.7</v>
      </c>
      <c r="E42" s="61">
        <f t="shared" si="8"/>
        <v>427334.7</v>
      </c>
      <c r="F42" s="61">
        <f t="shared" si="8"/>
        <v>411812.7</v>
      </c>
      <c r="G42" s="61">
        <f t="shared" si="8"/>
        <v>443363.7</v>
      </c>
      <c r="H42" s="61">
        <f t="shared" si="8"/>
        <v>490046.7</v>
      </c>
      <c r="I42" s="61">
        <f t="shared" si="8"/>
        <v>529202.69999999995</v>
      </c>
      <c r="J42" s="61">
        <f t="shared" si="8"/>
        <v>518360.7</v>
      </c>
      <c r="K42" s="61">
        <f t="shared" si="8"/>
        <v>536027.69999999995</v>
      </c>
      <c r="L42" s="61">
        <f t="shared" si="8"/>
        <v>570542.69999999995</v>
      </c>
      <c r="M42" s="61">
        <f t="shared" si="8"/>
        <v>612389.69999999995</v>
      </c>
      <c r="N42" s="60"/>
      <c r="O42" s="61">
        <f>SUM(B42:M42)</f>
        <v>5733803.4000000013</v>
      </c>
      <c r="P42" s="51" t="s">
        <v>91</v>
      </c>
      <c r="Q42" s="47"/>
    </row>
    <row r="43" spans="1:17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9"/>
      <c r="Q43" s="47"/>
    </row>
    <row r="44" spans="1:17" x14ac:dyDescent="0.25">
      <c r="A44" s="47" t="s">
        <v>90</v>
      </c>
      <c r="B44" s="56">
        <f>B40-B42</f>
        <v>404675.7</v>
      </c>
      <c r="C44" s="56">
        <f t="shared" ref="C44:M44" si="9">C40-C42</f>
        <v>398825.7</v>
      </c>
      <c r="D44" s="56">
        <f t="shared" si="9"/>
        <v>391220.7</v>
      </c>
      <c r="E44" s="56">
        <f t="shared" si="9"/>
        <v>427334.7</v>
      </c>
      <c r="F44" s="56">
        <f t="shared" si="9"/>
        <v>411812.7</v>
      </c>
      <c r="G44" s="56">
        <f t="shared" si="9"/>
        <v>443363.7</v>
      </c>
      <c r="H44" s="56">
        <f t="shared" si="9"/>
        <v>490046.7</v>
      </c>
      <c r="I44" s="56">
        <f t="shared" si="9"/>
        <v>529202.69999999995</v>
      </c>
      <c r="J44" s="56">
        <f t="shared" si="9"/>
        <v>518360.7</v>
      </c>
      <c r="K44" s="56">
        <f t="shared" si="9"/>
        <v>536027.69999999995</v>
      </c>
      <c r="L44" s="56">
        <f t="shared" si="9"/>
        <v>570542.69999999995</v>
      </c>
      <c r="M44" s="56">
        <f t="shared" si="9"/>
        <v>612389.69999999995</v>
      </c>
      <c r="N44" s="47"/>
      <c r="O44" s="56">
        <f>SUM(B44:N44)</f>
        <v>5733803.4000000013</v>
      </c>
      <c r="P44" s="51" t="s">
        <v>96</v>
      </c>
      <c r="Q44" s="47"/>
    </row>
    <row r="45" spans="1:17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9"/>
      <c r="Q45" s="47"/>
    </row>
    <row r="47" spans="1:17" x14ac:dyDescent="0.25">
      <c r="O47" s="59"/>
    </row>
  </sheetData>
  <mergeCells count="1">
    <mergeCell ref="A2:M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assumtions</vt:lpstr>
      <vt:lpstr>revenue forecast</vt:lpstr>
      <vt:lpstr>year 1 UOP</vt:lpstr>
      <vt:lpstr>year 2 UOP</vt:lpstr>
      <vt:lpstr>year 3 UOP</vt:lpstr>
      <vt:lpstr>year 4 UOP</vt:lpstr>
      <vt:lpstr>year 5 UOP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mackey</dc:creator>
  <cp:lastModifiedBy>jmackey</cp:lastModifiedBy>
  <dcterms:created xsi:type="dcterms:W3CDTF">2013-03-28T20:20:53Z</dcterms:created>
  <dcterms:modified xsi:type="dcterms:W3CDTF">2015-08-18T20:22:50Z</dcterms:modified>
</cp:coreProperties>
</file>